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главление" sheetId="1" r:id="rId1"/>
    <sheet name="Лист 1" sheetId="2" r:id="rId2"/>
    <sheet name="Лист 2" sheetId="3" r:id="rId3"/>
    <sheet name="Лист 3" sheetId="4" r:id="rId4"/>
    <sheet name="Лист 4" sheetId="5" r:id="rId5"/>
    <sheet name="Лист 5" sheetId="6" r:id="rId6"/>
    <sheet name="Лист 6" sheetId="7" r:id="rId7"/>
    <sheet name="Лист 7" sheetId="8" r:id="rId8"/>
    <sheet name="Лист 8" sheetId="9" r:id="rId9"/>
    <sheet name="Лист 9" sheetId="10" r:id="rId10"/>
    <sheet name="Лист 10" sheetId="11" r:id="rId11"/>
    <sheet name="Лист 11" sheetId="12" r:id="rId12"/>
    <sheet name="Лист 12" sheetId="13" r:id="rId13"/>
    <sheet name="Лист 13" sheetId="14" r:id="rId14"/>
    <sheet name="Лист 14" sheetId="15" r:id="rId15"/>
    <sheet name="Лист 15" sheetId="16" r:id="rId16"/>
    <sheet name="Лист 16" sheetId="17" r:id="rId17"/>
    <sheet name="Лист 17" sheetId="18" r:id="rId18"/>
    <sheet name="Лист 18" sheetId="19" r:id="rId19"/>
    <sheet name="Лист 19" sheetId="20" r:id="rId20"/>
    <sheet name="Лист 20" sheetId="21" r:id="rId21"/>
    <sheet name="Лист 21" sheetId="22" r:id="rId22"/>
    <sheet name="Лист 22" sheetId="23" r:id="rId23"/>
    <sheet name="Лист 23" sheetId="24" r:id="rId24"/>
    <sheet name="Лист 24" sheetId="25" r:id="rId25"/>
    <sheet name="Лист 25" sheetId="26" r:id="rId26"/>
    <sheet name="Лист 26" sheetId="27" r:id="rId27"/>
    <sheet name="Лист 27" sheetId="28" r:id="rId28"/>
    <sheet name="Лист 28" sheetId="29" r:id="rId29"/>
    <sheet name="Лист 29" sheetId="30" r:id="rId30"/>
  </sheets>
  <definedNames/>
  <calcPr fullCalcOnLoad="1"/>
</workbook>
</file>

<file path=xl/comments10.xml><?xml version="1.0" encoding="utf-8"?>
<comments xmlns="http://schemas.openxmlformats.org/spreadsheetml/2006/main">
  <authors>
    <author>*</author>
  </authors>
  <commentLis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11.xml><?xml version="1.0" encoding="utf-8"?>
<comments xmlns="http://schemas.openxmlformats.org/spreadsheetml/2006/main">
  <authors>
    <author>*</author>
  </authors>
  <commentList>
    <comment ref="H5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12.xml><?xml version="1.0" encoding="utf-8"?>
<comments xmlns="http://schemas.openxmlformats.org/spreadsheetml/2006/main">
  <authors>
    <author>*</author>
  </authors>
  <commentList>
    <comment ref="H4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4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13.xml><?xml version="1.0" encoding="utf-8"?>
<comments xmlns="http://schemas.openxmlformats.org/spreadsheetml/2006/main">
  <authors>
    <author>*</author>
  </authors>
  <commentList>
    <comment ref="H5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4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14.xml><?xml version="1.0" encoding="utf-8"?>
<comments xmlns="http://schemas.openxmlformats.org/spreadsheetml/2006/main">
  <authors>
    <author>*</author>
  </authors>
  <commentLis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15.xml><?xml version="1.0" encoding="utf-8"?>
<comments xmlns="http://schemas.openxmlformats.org/spreadsheetml/2006/main">
  <authors>
    <author>*</author>
  </authors>
  <commentList>
    <comment ref="H39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8" authorId="0">
      <text>
        <r>
          <rPr>
            <b/>
            <sz val="8"/>
            <rFont val="Tahoma"/>
            <family val="2"/>
          </rPr>
          <t>*:
уточнить</t>
        </r>
      </text>
    </comment>
  </commentList>
</comments>
</file>

<file path=xl/comments16.xml><?xml version="1.0" encoding="utf-8"?>
<comments xmlns="http://schemas.openxmlformats.org/spreadsheetml/2006/main">
  <authors>
    <author>*</author>
  </authors>
  <commentList>
    <comment ref="H54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6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86" authorId="0">
      <text>
        <r>
          <rPr>
            <b/>
            <sz val="8"/>
            <rFont val="Tahoma"/>
            <family val="2"/>
          </rPr>
          <t>*:
уточнить</t>
        </r>
      </text>
    </comment>
  </commentList>
</comments>
</file>

<file path=xl/comments17.xml><?xml version="1.0" encoding="utf-8"?>
<comments xmlns="http://schemas.openxmlformats.org/spreadsheetml/2006/main">
  <authors>
    <author>*</author>
  </authors>
  <commentLis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18.xml><?xml version="1.0" encoding="utf-8"?>
<comments xmlns="http://schemas.openxmlformats.org/spreadsheetml/2006/main">
  <authors>
    <author>*</author>
  </authors>
  <commentLis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19.xml><?xml version="1.0" encoding="utf-8"?>
<comments xmlns="http://schemas.openxmlformats.org/spreadsheetml/2006/main">
  <authors>
    <author>*</author>
  </authors>
  <commentList>
    <comment ref="H56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8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2.xml><?xml version="1.0" encoding="utf-8"?>
<comments xmlns="http://schemas.openxmlformats.org/spreadsheetml/2006/main">
  <authors>
    <author>*</author>
    <author>eXPerience</author>
  </authors>
  <commentList>
    <comment ref="H40" authorId="0">
      <text>
        <r>
          <rPr>
            <b/>
            <sz val="8"/>
            <rFont val="Tahoma"/>
            <family val="0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0"/>
          </rPr>
          <t>*:
можно взять меньше</t>
        </r>
      </text>
    </comment>
    <comment ref="H53" authorId="1">
      <text>
        <r>
          <rPr>
            <b/>
            <sz val="8"/>
            <rFont val="Tahoma"/>
            <family val="0"/>
          </rPr>
          <t>eXPerience:</t>
        </r>
        <r>
          <rPr>
            <sz val="8"/>
            <rFont val="Tahoma"/>
            <family val="0"/>
          </rPr>
          <t xml:space="preserve">
д.б-5584,5</t>
        </r>
      </text>
    </comment>
  </commentList>
</comments>
</file>

<file path=xl/comments20.xml><?xml version="1.0" encoding="utf-8"?>
<comments xmlns="http://schemas.openxmlformats.org/spreadsheetml/2006/main">
  <authors>
    <author>*</author>
  </authors>
  <commentList>
    <comment ref="H54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6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21.xml><?xml version="1.0" encoding="utf-8"?>
<comments xmlns="http://schemas.openxmlformats.org/spreadsheetml/2006/main">
  <authors>
    <author>*</author>
  </authors>
  <commentLis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22.xml><?xml version="1.0" encoding="utf-8"?>
<comments xmlns="http://schemas.openxmlformats.org/spreadsheetml/2006/main">
  <authors>
    <author>*</author>
  </authors>
  <commentLis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23.xml><?xml version="1.0" encoding="utf-8"?>
<comments xmlns="http://schemas.openxmlformats.org/spreadsheetml/2006/main">
  <authors>
    <author>*</author>
  </authors>
  <commentLis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24.xml><?xml version="1.0" encoding="utf-8"?>
<comments xmlns="http://schemas.openxmlformats.org/spreadsheetml/2006/main">
  <authors>
    <author>*</author>
  </authors>
  <commentLis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25.xml><?xml version="1.0" encoding="utf-8"?>
<comments xmlns="http://schemas.openxmlformats.org/spreadsheetml/2006/main">
  <authors>
    <author>*</author>
  </authors>
  <commentLis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26.xml><?xml version="1.0" encoding="utf-8"?>
<comments xmlns="http://schemas.openxmlformats.org/spreadsheetml/2006/main">
  <authors>
    <author>*</author>
  </authors>
  <commentLis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9" authorId="0">
      <text>
        <r>
          <rPr>
            <b/>
            <sz val="8"/>
            <rFont val="Tahoma"/>
            <family val="2"/>
          </rPr>
          <t>*:
уточнить</t>
        </r>
      </text>
    </comment>
  </commentList>
</comments>
</file>

<file path=xl/comments27.xml><?xml version="1.0" encoding="utf-8"?>
<comments xmlns="http://schemas.openxmlformats.org/spreadsheetml/2006/main">
  <authors>
    <author>*</author>
    <author>eXPerience</author>
  </authors>
  <commentList>
    <comment ref="H4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4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6" authorId="1">
      <text>
        <r>
          <rPr>
            <b/>
            <sz val="8"/>
            <rFont val="Tahoma"/>
            <family val="2"/>
          </rPr>
          <t>eXPerience:</t>
        </r>
        <r>
          <rPr>
            <sz val="8"/>
            <rFont val="Tahoma"/>
            <family val="2"/>
          </rPr>
          <t xml:space="preserve">
д.б-5553,25</t>
        </r>
      </text>
    </comment>
    <comment ref="H62" authorId="0">
      <text>
        <r>
          <rPr>
            <b/>
            <sz val="8"/>
            <rFont val="Tahoma"/>
            <family val="2"/>
          </rPr>
          <t>*:
уточнить</t>
        </r>
      </text>
    </comment>
  </commentList>
</comments>
</file>

<file path=xl/comments28.xml><?xml version="1.0" encoding="utf-8"?>
<comments xmlns="http://schemas.openxmlformats.org/spreadsheetml/2006/main">
  <authors>
    <author>*</author>
    <author>eXPerience</author>
  </authors>
  <commentLis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3" authorId="1">
      <text>
        <r>
          <rPr>
            <b/>
            <sz val="8"/>
            <rFont val="Tahoma"/>
            <family val="2"/>
          </rPr>
          <t>eXPerience:</t>
        </r>
        <r>
          <rPr>
            <sz val="8"/>
            <rFont val="Tahoma"/>
            <family val="2"/>
          </rPr>
          <t xml:space="preserve">
д.б.-5568,77</t>
        </r>
      </text>
    </comment>
  </commentList>
</comments>
</file>

<file path=xl/comments29.xml><?xml version="1.0" encoding="utf-8"?>
<comments xmlns="http://schemas.openxmlformats.org/spreadsheetml/2006/main">
  <authors>
    <author>*</author>
  </authors>
  <commentList>
    <comment ref="H54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6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86" authorId="0">
      <text>
        <r>
          <rPr>
            <b/>
            <sz val="8"/>
            <rFont val="Tahoma"/>
            <family val="2"/>
          </rPr>
          <t>*:
уточнить</t>
        </r>
      </text>
    </comment>
  </commentList>
</comments>
</file>

<file path=xl/comments3.xml><?xml version="1.0" encoding="utf-8"?>
<comments xmlns="http://schemas.openxmlformats.org/spreadsheetml/2006/main">
  <authors>
    <author>*</author>
  </authors>
  <commentLis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30.xml><?xml version="1.0" encoding="utf-8"?>
<comments xmlns="http://schemas.openxmlformats.org/spreadsheetml/2006/main">
  <authors>
    <author>*</author>
    <author>eXPerience</author>
  </authors>
  <commentLis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3" authorId="1">
      <text>
        <r>
          <rPr>
            <b/>
            <sz val="8"/>
            <rFont val="Tahoma"/>
            <family val="2"/>
          </rPr>
          <t>eXPerience:</t>
        </r>
        <r>
          <rPr>
            <sz val="8"/>
            <rFont val="Tahoma"/>
            <family val="2"/>
          </rPr>
          <t xml:space="preserve">
д.б-4223,7</t>
        </r>
      </text>
    </comment>
  </commentList>
</comments>
</file>

<file path=xl/comments4.xml><?xml version="1.0" encoding="utf-8"?>
<comments xmlns="http://schemas.openxmlformats.org/spreadsheetml/2006/main">
  <authors>
    <author>*</author>
  </authors>
  <commentLis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5.xml><?xml version="1.0" encoding="utf-8"?>
<comments xmlns="http://schemas.openxmlformats.org/spreadsheetml/2006/main">
  <authors>
    <author>*</author>
  </authors>
  <commentList>
    <comment ref="H40" authorId="0">
      <text>
        <r>
          <rPr>
            <b/>
            <sz val="8"/>
            <rFont val="Tahoma"/>
            <family val="0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0"/>
          </rPr>
          <t>*:
можно взять меньше</t>
        </r>
      </text>
    </comment>
    <comment ref="H58" authorId="0">
      <text>
        <r>
          <rPr>
            <b/>
            <sz val="8"/>
            <rFont val="Tahoma"/>
            <family val="0"/>
          </rPr>
          <t>*:
уточнить</t>
        </r>
      </text>
    </comment>
  </commentList>
</comments>
</file>

<file path=xl/comments6.xml><?xml version="1.0" encoding="utf-8"?>
<comments xmlns="http://schemas.openxmlformats.org/spreadsheetml/2006/main">
  <authors>
    <author>*</author>
  </authors>
  <commentList>
    <comment ref="H42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3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</commentList>
</comments>
</file>

<file path=xl/comments7.xml><?xml version="1.0" encoding="utf-8"?>
<comments xmlns="http://schemas.openxmlformats.org/spreadsheetml/2006/main">
  <authors>
    <author>*</author>
  </authors>
  <commentList>
    <comment ref="H54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6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86" authorId="0">
      <text>
        <r>
          <rPr>
            <b/>
            <sz val="8"/>
            <rFont val="Tahoma"/>
            <family val="2"/>
          </rPr>
          <t>*:
уточнить</t>
        </r>
      </text>
    </comment>
  </commentList>
</comments>
</file>

<file path=xl/comments8.xml><?xml version="1.0" encoding="utf-8"?>
<comments xmlns="http://schemas.openxmlformats.org/spreadsheetml/2006/main">
  <authors>
    <author>*</author>
    <author>eXPerience</author>
  </authors>
  <commentList>
    <comment ref="H39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2" authorId="1">
      <text>
        <r>
          <rPr>
            <b/>
            <sz val="8"/>
            <rFont val="Tahoma"/>
            <family val="2"/>
          </rPr>
          <t>eXPerience:</t>
        </r>
        <r>
          <rPr>
            <sz val="8"/>
            <rFont val="Tahoma"/>
            <family val="2"/>
          </rPr>
          <t xml:space="preserve">
д.б.-4268,1</t>
        </r>
      </text>
    </comment>
  </commentList>
</comments>
</file>

<file path=xl/comments9.xml><?xml version="1.0" encoding="utf-8"?>
<comments xmlns="http://schemas.openxmlformats.org/spreadsheetml/2006/main">
  <authors>
    <author>*</author>
    <author>eXPerience</author>
  </authors>
  <commentList>
    <comment ref="H40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41" authorId="0">
      <text>
        <r>
          <rPr>
            <b/>
            <sz val="8"/>
            <rFont val="Tahoma"/>
            <family val="2"/>
          </rPr>
          <t>*:
можно взять меньше</t>
        </r>
      </text>
    </comment>
    <comment ref="H53" authorId="1">
      <text>
        <r>
          <rPr>
            <b/>
            <sz val="8"/>
            <rFont val="Tahoma"/>
            <family val="2"/>
          </rPr>
          <t>eXPerience:</t>
        </r>
        <r>
          <rPr>
            <sz val="8"/>
            <rFont val="Tahoma"/>
            <family val="2"/>
          </rPr>
          <t xml:space="preserve">
д.б5370,6</t>
        </r>
      </text>
    </comment>
  </commentList>
</comments>
</file>

<file path=xl/sharedStrings.xml><?xml version="1.0" encoding="utf-8"?>
<sst xmlns="http://schemas.openxmlformats.org/spreadsheetml/2006/main" count="10804" uniqueCount="1109">
  <si>
    <t>ул. Касимовское шоссе д. 44</t>
  </si>
  <si>
    <t>ул. Новосёлов д. 19 корп. 1</t>
  </si>
  <si>
    <t>ул. Советской Армии д. 2</t>
  </si>
  <si>
    <t>ул. Советской Армии д. 4 корп. 1</t>
  </si>
  <si>
    <t>ул. Советской Армии д. 12</t>
  </si>
  <si>
    <t>ул. Советской Армии д. 14/9</t>
  </si>
  <si>
    <t>ул. Тимуровцев д. 5</t>
  </si>
  <si>
    <t>№ п/п</t>
  </si>
  <si>
    <t>Адрес многоквартирного дома</t>
  </si>
  <si>
    <t>Номер листа</t>
  </si>
  <si>
    <t>Лист 1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</si>
  <si>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</si>
  <si>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</si>
  <si>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</si>
  <si>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</si>
  <si>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</si>
  <si>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</si>
  <si>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</si>
  <si>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</si>
  <si>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</si>
  <si>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</si>
  <si>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</si>
  <si>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</si>
  <si>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</si>
  <si>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>Лист 15</t>
  </si>
  <si>
    <t>Лист 16</t>
  </si>
  <si>
    <t>Лист 17</t>
  </si>
  <si>
    <t>Лист 18</t>
  </si>
  <si>
    <t>Лист 19</t>
  </si>
  <si>
    <t>Лист 20</t>
  </si>
  <si>
    <t>Лист 21</t>
  </si>
  <si>
    <t>Лист 22</t>
  </si>
  <si>
    <t>Лист 23</t>
  </si>
  <si>
    <t>Лист 24</t>
  </si>
  <si>
    <t>Лист 25</t>
  </si>
  <si>
    <t>Лист 26</t>
  </si>
  <si>
    <t>Лист 27</t>
  </si>
  <si>
    <t>Лист 28</t>
  </si>
  <si>
    <t>Лист 29</t>
  </si>
  <si>
    <t>ул. Касимовское шоссе д. 36</t>
  </si>
  <si>
    <t>ул. Касимовское шоссе д. 36 корп. 1</t>
  </si>
  <si>
    <t>ул. Касимовское шоссе д. 38</t>
  </si>
  <si>
    <t>ул. Касимовское шоссе д. 40</t>
  </si>
  <si>
    <t>ул. Касимовское шоссе д. 42</t>
  </si>
  <si>
    <t>ул. Новосёлов д. 3</t>
  </si>
  <si>
    <t>ул. Новосёлов д. 7</t>
  </si>
  <si>
    <t>ул. Новосёлов д. 19</t>
  </si>
  <si>
    <t>ул. Советской Армии д. 7</t>
  </si>
  <si>
    <t>ул. Советской Армии д. 1/34</t>
  </si>
  <si>
    <t>ул. Советской Армии д. 3</t>
  </si>
  <si>
    <t>ул. Советской Армии д. 3 корп. 2</t>
  </si>
  <si>
    <t>ул. Советской Армии д. 10</t>
  </si>
  <si>
    <t>ул. Тимакова д. 8</t>
  </si>
  <si>
    <t>ул. Тимакова д. 10</t>
  </si>
  <si>
    <t>ул. Тимакова д. 12</t>
  </si>
  <si>
    <t>ул. Тимакова д. 12 корп. 1</t>
  </si>
  <si>
    <t>ул. Тимакова д. 14</t>
  </si>
  <si>
    <t>ул. Тимуровцев д. 1</t>
  </si>
  <si>
    <t>ул. Тимуровцев д. 2</t>
  </si>
  <si>
    <t>ул. Тимуровцев д. 3</t>
  </si>
  <si>
    <t>ул. Тимуровцев д. 6</t>
  </si>
  <si>
    <t>Расчет стоимости работ по содержанию, управлению многоквартирным домом за 2010 год</t>
  </si>
  <si>
    <t>Размер финансирования услуг и работ по управлению,содержанию и текущему ремонту</t>
  </si>
  <si>
    <t>Размер платы за содержание и ремонт жилого помещения в многоквартирном доме №36 по Касимовскому шоссе-9,49 руб./кв.м.</t>
  </si>
  <si>
    <t>в том числе:</t>
  </si>
  <si>
    <t xml:space="preserve">   -содержание и ремонт общего имущества дома и придомовой территории</t>
  </si>
  <si>
    <t xml:space="preserve">   -сбор и вывоз ТБО</t>
  </si>
  <si>
    <t xml:space="preserve">   -техническое обслуживание внутридомового газового оборудования</t>
  </si>
  <si>
    <t xml:space="preserve">   -расходы на управление домом</t>
  </si>
  <si>
    <t>Общая сумма начислений</t>
  </si>
  <si>
    <t>руб.</t>
  </si>
  <si>
    <t>Расходы:</t>
  </si>
  <si>
    <t>1.Себестоимость услуг по содержанию жилфонда:</t>
  </si>
  <si>
    <t>пл. кровли-1360,8 кв.м</t>
  </si>
  <si>
    <t>6076,3 -прив.пл.</t>
  </si>
  <si>
    <t>1.1.Благоустройство и саночистка домовладений</t>
  </si>
  <si>
    <t>Необх колич дворн</t>
  </si>
  <si>
    <t xml:space="preserve">     З/плата:</t>
  </si>
  <si>
    <t>уборщиц</t>
  </si>
  <si>
    <t>дворники 0,96 ед. Х 2600руб.х1,75х1,07(рез.отп.)  =</t>
  </si>
  <si>
    <t>мусоропр</t>
  </si>
  <si>
    <t>Уборщицы  0,69х2203х1,3х1,75х1,07(рез.отп.)</t>
  </si>
  <si>
    <t>Площ.</t>
  </si>
  <si>
    <t>колич прожив</t>
  </si>
  <si>
    <t>х14,2%=</t>
  </si>
  <si>
    <t xml:space="preserve">колич лифтов на 8 </t>
  </si>
  <si>
    <t>Спецодежда,инструмент и инвентарь</t>
  </si>
  <si>
    <t xml:space="preserve">дворники 5757,2 х0,057руб. = </t>
  </si>
  <si>
    <t>уборщицы 5757,2 х0,0085 =</t>
  </si>
  <si>
    <t>Приобретение моющих средств 0,005х 5757,2</t>
  </si>
  <si>
    <t>Количество эл плит</t>
  </si>
  <si>
    <t>Приобретение песко-соляной смеси 0,017х5757,2</t>
  </si>
  <si>
    <t>колич вентканалов</t>
  </si>
  <si>
    <t xml:space="preserve">Вывоз крупногабар. мусора </t>
  </si>
  <si>
    <t>потр.эл.энергия</t>
  </si>
  <si>
    <t>1.2.Содержание домохозяйства</t>
  </si>
  <si>
    <t>необ. Колич  работ.</t>
  </si>
  <si>
    <t>Необх. Колич конт.</t>
  </si>
  <si>
    <t>Сбор и вывоз ТБО( 349х1,5):12*90,3х1,058</t>
  </si>
  <si>
    <t>захоронение ТБО 349чел.х1,5кубм/год  х 33,1руб.:12мес. Х1,058  =</t>
  </si>
  <si>
    <t>электроэнергия 1050 кВт.х 2,48 руб. =</t>
  </si>
  <si>
    <t>дератизация 5757,20 кв.м х  0,028  =</t>
  </si>
  <si>
    <t>дезинсекция 5757,20кв.м х 0,0027=</t>
  </si>
  <si>
    <t>прочистка вентканалов 48шт.х 4,81руб.:12мес.=</t>
  </si>
  <si>
    <t>ТО ВДГО (внутридомового газового оборудования) 119 кв.х80/12/3</t>
  </si>
  <si>
    <t>Аварийно-рем. работы 5760,6 х0,216 руб.</t>
  </si>
  <si>
    <t>озеленение придомовой террит. 5757,20кв.м.х 0,027руб.=</t>
  </si>
  <si>
    <t>содерж.детско-спортивных площадок 5757,20 кв.м.х 0,022 руб.=</t>
  </si>
  <si>
    <t>Провед. мероприятий по противопож. безопасности 0,022х 5757,20</t>
  </si>
  <si>
    <t>Приобретение контейнеров 0,053х5757,20 кв.м.</t>
  </si>
  <si>
    <t>Ремонт контейнеров  5757,20 х0,014 руб.</t>
  </si>
  <si>
    <t>1.4.Текущий ремонт</t>
  </si>
  <si>
    <t>З/плата</t>
  </si>
  <si>
    <t>1,58ед.х24,48руб.х165,6час.х1,5х1,07(рез.отп.)   =</t>
  </si>
  <si>
    <t xml:space="preserve">ЕСН </t>
  </si>
  <si>
    <t>руб. х 14,2% =</t>
  </si>
  <si>
    <t xml:space="preserve">Приобретение материалов </t>
  </si>
  <si>
    <t>Приобретение моющих средств 5757,20 кв.м.х0,0037руб.</t>
  </si>
  <si>
    <t>ГСМ 5757,20 кв.м.х0,082руб.</t>
  </si>
  <si>
    <t>Эл.энергия сварочных аппаратов 5757,20 кв.м.х0,023руб.х1,107</t>
  </si>
  <si>
    <t>Промывка и опрессовка системы отопления</t>
  </si>
  <si>
    <t>1.5.Прочие прямые затраты</t>
  </si>
  <si>
    <t>З/плата мастеров,диспетчера,кладовщика,уб.служ пом. С ЕСН</t>
  </si>
  <si>
    <t>0,2227руб. Х 5757,20</t>
  </si>
  <si>
    <t>содержание мастерских 0,0257руб. х 5757,20</t>
  </si>
  <si>
    <t>услуги КВЦ 0,0945руб.х 5757,20</t>
  </si>
  <si>
    <t>Расходы на управление домом 0,38руб.*5757,20</t>
  </si>
  <si>
    <t>1.6.Общеэксплуатационные расходы (сод. АУП)</t>
  </si>
  <si>
    <t>З/плата АУП с ЕСН</t>
  </si>
  <si>
    <t>аренда основных средств</t>
  </si>
  <si>
    <t xml:space="preserve">почтово-телеграфные и телефонные расх.        </t>
  </si>
  <si>
    <t xml:space="preserve">расх. на вычислит. технику       </t>
  </si>
  <si>
    <t xml:space="preserve">типографские работы              </t>
  </si>
  <si>
    <t xml:space="preserve">содержание помещений АУП   </t>
  </si>
  <si>
    <t>канцтовары,периодич.издания</t>
  </si>
  <si>
    <t>1.7.Внеэксплуатационные расходы</t>
  </si>
  <si>
    <t>Рентабильность 6%</t>
  </si>
  <si>
    <t xml:space="preserve">Стоимость содержания жилья </t>
  </si>
  <si>
    <t>Стоимость содержания жилья 1 м2</t>
  </si>
  <si>
    <t xml:space="preserve"> Расчет расходов на содержание жилого дома</t>
  </si>
  <si>
    <t>№42</t>
  </si>
  <si>
    <t>по ул.Касимовское шоссе</t>
  </si>
  <si>
    <t>Асфвльт дворовый</t>
  </si>
  <si>
    <t xml:space="preserve">Асфальт уличный </t>
  </si>
  <si>
    <t>Газоны</t>
  </si>
  <si>
    <t>Количество проживающих</t>
  </si>
  <si>
    <t>Общая площадь</t>
  </si>
  <si>
    <t>1.1.Благоустройство и саночистка домовладений.</t>
  </si>
  <si>
    <t>1.3.Расходы по  лифтовому оборуд.</t>
  </si>
  <si>
    <t>1.5  Прочие прямые затраты</t>
  </si>
  <si>
    <t>1.7Внеэксплуатационные расходы</t>
  </si>
  <si>
    <t>площадь кровли</t>
  </si>
  <si>
    <t>количество квартир</t>
  </si>
  <si>
    <t>Р А С Ч Е Т</t>
  </si>
  <si>
    <t>численности рабочих,занятых текущем ремонтом жилищного фонда,санитарной очисткой</t>
  </si>
  <si>
    <t>территории домовладения, согласно типо вых норм обслуживания на 2006 год.</t>
  </si>
  <si>
    <t>ООО "МПО №17"</t>
  </si>
  <si>
    <t>прив. Пл.</t>
  </si>
  <si>
    <t>до 10 лет</t>
  </si>
  <si>
    <t>№</t>
  </si>
  <si>
    <t xml:space="preserve">Наименование </t>
  </si>
  <si>
    <t>Наименование</t>
  </si>
  <si>
    <t>Единица</t>
  </si>
  <si>
    <t xml:space="preserve">Фактические </t>
  </si>
  <si>
    <t>Нормативная</t>
  </si>
  <si>
    <t>Фактич.</t>
  </si>
  <si>
    <t>от11 до 30</t>
  </si>
  <si>
    <t>п/п</t>
  </si>
  <si>
    <t>профессий</t>
  </si>
  <si>
    <t>показателей</t>
  </si>
  <si>
    <t>измерения</t>
  </si>
  <si>
    <t>данные</t>
  </si>
  <si>
    <t>численность</t>
  </si>
  <si>
    <t>числ.</t>
  </si>
  <si>
    <t>св.31</t>
  </si>
  <si>
    <t>на единицу</t>
  </si>
  <si>
    <t>на фактич.</t>
  </si>
  <si>
    <t>объем работ</t>
  </si>
  <si>
    <t>пл кровли</t>
  </si>
  <si>
    <t>гр.5хгр.6</t>
  </si>
  <si>
    <t>1.</t>
  </si>
  <si>
    <t>Кровельщик</t>
  </si>
  <si>
    <t>Кирпичные,каменные,</t>
  </si>
  <si>
    <t>по рулонным</t>
  </si>
  <si>
    <t>крупнопанельные,блоч-</t>
  </si>
  <si>
    <t>и по кровлям</t>
  </si>
  <si>
    <t>ные,деревянные здания</t>
  </si>
  <si>
    <t>пл подв и черд.</t>
  </si>
  <si>
    <t xml:space="preserve">из штучных </t>
  </si>
  <si>
    <t>и из других материалов</t>
  </si>
  <si>
    <t>материалов</t>
  </si>
  <si>
    <t>Сроки эксплуатации</t>
  </si>
  <si>
    <t>зданий:</t>
  </si>
  <si>
    <t>1000 м2</t>
  </si>
  <si>
    <t>кровли из</t>
  </si>
  <si>
    <t>прив.пл. кирп.</t>
  </si>
  <si>
    <t>от 11 до 30 лет</t>
  </si>
  <si>
    <t>рубероида,</t>
  </si>
  <si>
    <t>свыше 31 года</t>
  </si>
  <si>
    <t>толя,и др.</t>
  </si>
  <si>
    <t>рулонных</t>
  </si>
  <si>
    <t>ИТОГО:</t>
  </si>
  <si>
    <t>Бетонщик</t>
  </si>
  <si>
    <t>Кирпичные и каменные</t>
  </si>
  <si>
    <t>крупнопанельные,</t>
  </si>
  <si>
    <t xml:space="preserve">блочные здания </t>
  </si>
  <si>
    <t>общ.пл.</t>
  </si>
  <si>
    <t>2.</t>
  </si>
  <si>
    <t>Каменьщик</t>
  </si>
  <si>
    <t>здания</t>
  </si>
  <si>
    <t>колич кв.</t>
  </si>
  <si>
    <t>Крупнопанельные и блочные</t>
  </si>
  <si>
    <t>3.</t>
  </si>
  <si>
    <t>Мапяр</t>
  </si>
  <si>
    <t>строительный</t>
  </si>
  <si>
    <t>общая</t>
  </si>
  <si>
    <t>площадь</t>
  </si>
  <si>
    <t>4.</t>
  </si>
  <si>
    <t>Плотник</t>
  </si>
  <si>
    <t>5.</t>
  </si>
  <si>
    <t>Столяр</t>
  </si>
  <si>
    <t>Стекольщик</t>
  </si>
  <si>
    <t>6.</t>
  </si>
  <si>
    <t>Штукатур</t>
  </si>
  <si>
    <t>Подсобный рабочий</t>
  </si>
  <si>
    <t xml:space="preserve">1000 кв м </t>
  </si>
  <si>
    <t>пл. подвалов</t>
  </si>
  <si>
    <t>и чердаков</t>
  </si>
  <si>
    <t>7.</t>
  </si>
  <si>
    <t>Электро-</t>
  </si>
  <si>
    <t>газосварщик</t>
  </si>
  <si>
    <t>8.</t>
  </si>
  <si>
    <t>Слесари-</t>
  </si>
  <si>
    <t>сантехники</t>
  </si>
  <si>
    <t>водопровод,канализация,</t>
  </si>
  <si>
    <t>горячее водоснбжение</t>
  </si>
  <si>
    <t>Общая пл.</t>
  </si>
  <si>
    <t>м2</t>
  </si>
  <si>
    <t>Центральное отопление от</t>
  </si>
  <si>
    <t>ТЭЦ</t>
  </si>
  <si>
    <t>квартира</t>
  </si>
  <si>
    <t>9.</t>
  </si>
  <si>
    <t>Электромонтеры</t>
  </si>
  <si>
    <t>В домах со скрытой</t>
  </si>
  <si>
    <t>проводкой</t>
  </si>
  <si>
    <t>срок эксплуатации зданий:</t>
  </si>
  <si>
    <t>10.</t>
  </si>
  <si>
    <t>Водители</t>
  </si>
  <si>
    <t>ед.</t>
  </si>
  <si>
    <t>транспортных</t>
  </si>
  <si>
    <t>средств</t>
  </si>
  <si>
    <t>11.</t>
  </si>
  <si>
    <t>Токарь</t>
  </si>
  <si>
    <t>12.</t>
  </si>
  <si>
    <t>Грузчик</t>
  </si>
  <si>
    <t>13.</t>
  </si>
  <si>
    <t>Кладовщик</t>
  </si>
  <si>
    <t>Итого по текущему ремонту:</t>
  </si>
  <si>
    <t>кв.м</t>
  </si>
  <si>
    <t>14.</t>
  </si>
  <si>
    <t>Дворники</t>
  </si>
  <si>
    <t>асфальт фасадный</t>
  </si>
  <si>
    <t>асфальт дворовый</t>
  </si>
  <si>
    <t>газоны</t>
  </si>
  <si>
    <t>15.</t>
  </si>
  <si>
    <t>Уборщицы</t>
  </si>
  <si>
    <t>здание 5-и этажное</t>
  </si>
  <si>
    <t>л/площадок</t>
  </si>
  <si>
    <t>здание более 5-ти</t>
  </si>
  <si>
    <t>этажей</t>
  </si>
  <si>
    <t>прожив.чел.</t>
  </si>
  <si>
    <t>16.</t>
  </si>
  <si>
    <t>Мусоропроводчики</t>
  </si>
  <si>
    <t>камера в подвале</t>
  </si>
  <si>
    <t xml:space="preserve">камера в цокольном </t>
  </si>
  <si>
    <t>этаже</t>
  </si>
  <si>
    <t>17.</t>
  </si>
  <si>
    <t>Тракторист</t>
  </si>
  <si>
    <t>Итого по сан.очистке:</t>
  </si>
  <si>
    <t>общего имущества в многоквартирном доме на 2010 год</t>
  </si>
  <si>
    <t xml:space="preserve">    З/плата:</t>
  </si>
  <si>
    <t>дворники 1,15 ед. Х 2600руб.х1,75х1,07(рез.отп.)  =</t>
  </si>
  <si>
    <t>Уборщицы  0,35х2203х1,3х1,75х1,07(рез.отп.)</t>
  </si>
  <si>
    <t xml:space="preserve">дворники 2722,70 х0,057руб. = </t>
  </si>
  <si>
    <t>уборщицы 2722,70 х0,0085 =</t>
  </si>
  <si>
    <t>Приобретение моющих средств 0,005х 2722,70</t>
  </si>
  <si>
    <t>Приобретение песко-соляной смеси 0,017х2722,70</t>
  </si>
  <si>
    <t>Сбор и вывоз ТБО( 165х1,5):12*90,3х1,058</t>
  </si>
  <si>
    <t>захоронение ТБО 165чел.х1,5кубм/год  х 33,1руб.:12мес. Х1,058  =</t>
  </si>
  <si>
    <t>электроэнергия 517 кВт.х 2,48 руб. =</t>
  </si>
  <si>
    <t>дератизация 2722,7 кв.м х  0,028  =</t>
  </si>
  <si>
    <t>дезинсекция 2722,7кв.м х 0,0027=</t>
  </si>
  <si>
    <t>прочистка вентканалов 24шт.х 4,81руб.:12мес.=</t>
  </si>
  <si>
    <t>ТО ВДГО (внутридомового газового оборудования) 60 кв.х80/12/3</t>
  </si>
  <si>
    <t>Аварийно-рем. работы 2722,7 х0,216 руб.</t>
  </si>
  <si>
    <t>озеленение придомовой террит. 2722,7кв.м.х 0,027руб.=</t>
  </si>
  <si>
    <t>содерж.детско-спортивных площадок 2722,7 кв.м.х 0,022 руб.=</t>
  </si>
  <si>
    <t>Провед. мероприятий по противопож. безопасности 0,022х 2722,7</t>
  </si>
  <si>
    <t>Приобретение контейнеров 0,053х2722,7 кв.м.</t>
  </si>
  <si>
    <t>Ремонт контейнеров  2722,7 х0,014 руб.</t>
  </si>
  <si>
    <t>0,77ед.х24,48руб.х165,6час.х1,5х1,07(рез.отп.)   =</t>
  </si>
  <si>
    <t>Приобретение моющих средств 2722,7 кв.м.х0,0037руб.</t>
  </si>
  <si>
    <t>ГСМ 2722,7 кв.м.х0,082руб.</t>
  </si>
  <si>
    <t>Эл.энергия сварочных аппаратов 2722,7 кв.м.х0,023руб.х1,107</t>
  </si>
  <si>
    <t>0,2227руб. Х 2722,7</t>
  </si>
  <si>
    <t>содержание мастерских 0,0257руб. х 2722,7</t>
  </si>
  <si>
    <t>услуги КВЦ 0,0945руб.х 2722,7</t>
  </si>
  <si>
    <t>Расходы на управление домом 0,38руб.*2722,7</t>
  </si>
  <si>
    <t>Размер платы за содержание и ремонт жилого помещения в многоквартирном доме №36 корп.1 по Касимовскому шоссе-9,49 руб./кв.м.</t>
  </si>
  <si>
    <t>пл. кровли-1113,3 кв.м</t>
  </si>
  <si>
    <t>5773,9 -прив.пл.</t>
  </si>
  <si>
    <t xml:space="preserve">  З/плата:</t>
  </si>
  <si>
    <t>дворники 1,6ед. Х 2600руб.х1,75х1,07(рез.отп.)  =</t>
  </si>
  <si>
    <t>мусоропроводчики 0,6 ед.х2600х1,5х1,07 рез. отп.</t>
  </si>
  <si>
    <t>полезн пл по квц</t>
  </si>
  <si>
    <t>уборщицы л/клеток 0,6 ед.х2203руб.х1,3х1,07(рез.отп.) =</t>
  </si>
  <si>
    <t>пл по дерат</t>
  </si>
  <si>
    <t>дворники  0,057х5380,5</t>
  </si>
  <si>
    <t>Мусоропроводч.0,0018х5380,5</t>
  </si>
  <si>
    <t>уборщицы 0,0085х5380,5</t>
  </si>
  <si>
    <t>Приобретение моющих средств 0,005х5380,5</t>
  </si>
  <si>
    <t>Приобретение песко-соляной смеси 0,017х5380,5</t>
  </si>
  <si>
    <t>Вывоз крупногабар. мусора 0,054х5380,5х1,058</t>
  </si>
  <si>
    <t>Сбор и вывоз ТБО( 302х1,5):12*90,3х1,058</t>
  </si>
  <si>
    <t>захоронение ТБО 302 чел.х1,5кубм/год  х 33,1руб.:12мес. Х1,058   =</t>
  </si>
  <si>
    <t>электроэнергия 8100 кВт.х 2,48 руб.  =</t>
  </si>
  <si>
    <t>дератизация 543,2 кв.м х 1,279/12 мес. =</t>
  </si>
  <si>
    <t>дезинсекция 5380,5кв.м х 0,0027 =</t>
  </si>
  <si>
    <t>аварийная служба 5380,5 кв.м.*0,216</t>
  </si>
  <si>
    <t>прочистка вентканалов 27шт.х 4,81руб.:12мес.=</t>
  </si>
  <si>
    <t>Тех обслужив. внутридом. газовое оборудование 80*138*12/3</t>
  </si>
  <si>
    <t>озеленение придомовой террит. 5380,5 кв.м.х 0,027руб.=</t>
  </si>
  <si>
    <t>содерж.детско-спортивных площадок 5380,5 кв.м.х 0,022руб. =</t>
  </si>
  <si>
    <t>Провед. мероприятий по противопож. безопасности 0,021х5380,5 кв.м</t>
  </si>
  <si>
    <t>Приобретение контейнеров 0,053х5380,5кв.м.</t>
  </si>
  <si>
    <t>Ремонт контейнеров 0,014х5380,5кв.м.</t>
  </si>
  <si>
    <t>техн.обслужив.5380,5 кв.м.*2,07</t>
  </si>
  <si>
    <t>тех. освидет. 1884 рубх 2шт.:12мес. =</t>
  </si>
  <si>
    <t>электротехнические работы 1882х 2шт. :12мес.   =</t>
  </si>
  <si>
    <t>измерение петли "фаза-нуль" 56,4 руб. Х 2шт.:2 года :12 мес.=</t>
  </si>
  <si>
    <t>страхование лифтов</t>
  </si>
  <si>
    <t>1,54 ед.х24,48руб.х165,1час.х1,5х1,07(рез.отп.)   =</t>
  </si>
  <si>
    <t>Спецодежда,инструмент и инвентарь 5380,5кв.мх0,04</t>
  </si>
  <si>
    <t>Приобретение материалов 5380,5кв.м*0,97</t>
  </si>
  <si>
    <t>Приобретение моющих средств 5380,5 кв.м.х0,0037</t>
  </si>
  <si>
    <t>ГСМ 5380,5 кв.м.х0,082</t>
  </si>
  <si>
    <t>Эл.энергия сварочных аппаратов  5380,5 кв.м х0,023х1,107</t>
  </si>
  <si>
    <t>0,2227 х5380,5</t>
  </si>
  <si>
    <t>содержание мастерских 0,0257 х 5380,5</t>
  </si>
  <si>
    <t>услуги КВЦ 0,0945х5380,5</t>
  </si>
  <si>
    <t>Расходы на управление домом 0,48*5380,5</t>
  </si>
  <si>
    <t>Размер платы за содержание и ремонт жилого помещения в многоквартирном доме №40 по Касимовскому шоссе-9,49 руб./кв.м.</t>
  </si>
  <si>
    <t>дворники 0,89 ед. Х 2600руб.х1,75х1,07(рез.отп.)  =</t>
  </si>
  <si>
    <t>Уборщицы  0,72х2203х1,3х1,75х1,07(рез.отп.)</t>
  </si>
  <si>
    <t xml:space="preserve">дворники 5739,6х0,057руб. = </t>
  </si>
  <si>
    <t>уборщицы 5739,6 х0,0085 =</t>
  </si>
  <si>
    <t>Приобретение моющих средств 0,005х 5739,6</t>
  </si>
  <si>
    <t>Приобретение песко-соляной смеси 0,017х5739,6</t>
  </si>
  <si>
    <t>Сбор и вывоз ТБО( 300х1,5):12*90,3х1,058</t>
  </si>
  <si>
    <t>захоронение ТБО 300чел.х1,5кубм/год  х 33,1руб.:12мес.х1,058    =</t>
  </si>
  <si>
    <t>электроэнергия 1107 кВт.х 2,48 руб. =</t>
  </si>
  <si>
    <t>дератизация 5739,6 кв.м х  0,028  =</t>
  </si>
  <si>
    <t>дезинсекция 5739,кв.м х 0,0027=</t>
  </si>
  <si>
    <t>ТО ВДГО (внутридомового газового оборудования) 119х80/12/3</t>
  </si>
  <si>
    <t>кол кварт</t>
  </si>
  <si>
    <t>Аварийно-рем. работы 5739,6 х0,216 руб.</t>
  </si>
  <si>
    <t>озеленение придомовой террит. 5739,6кв.м.х 0,027руб.=</t>
  </si>
  <si>
    <t>содерж.детско-спортивных площадок 5739,6 кв.м.х 0,022 руб.=</t>
  </si>
  <si>
    <t>Провед. мероприятий по противопож. безопасности 0,022х 5739,6</t>
  </si>
  <si>
    <t>Приобретение контейнеров 0,053х5739,6 кв.м.</t>
  </si>
  <si>
    <t>Ремонт контейнеров  5739,6 х0,014 руб.</t>
  </si>
  <si>
    <t>1,6ед.х24,48руб.х165,6час.х1,5х1,07(рез.отп.)   =</t>
  </si>
  <si>
    <t>Приобретение материалов 5739,6 кв.м.*0,97руб.</t>
  </si>
  <si>
    <t>Приобретение моющих средств 5739,6кв.м.х0,0037руб.</t>
  </si>
  <si>
    <t>ГСМ 5739,6 кв.м.х0,082руб.</t>
  </si>
  <si>
    <t>Эл.энергия сварочных аппаратов 5739,6 кв.м.х0,023руб.х1,107</t>
  </si>
  <si>
    <t>Герметизация швов</t>
  </si>
  <si>
    <t>Ямочный ремонт</t>
  </si>
  <si>
    <t>0,2227руб. Х 5739,6</t>
  </si>
  <si>
    <t>содержание мастерских 0,0257руб. х 5739,6</t>
  </si>
  <si>
    <t>услуги КВЦ 0,0945руб.х5739,6</t>
  </si>
  <si>
    <t>Расходы на управление домом 0,38руб.*5739,6</t>
  </si>
  <si>
    <t xml:space="preserve">  в том числе:</t>
  </si>
  <si>
    <t xml:space="preserve">  -расходы на управление домом</t>
  </si>
  <si>
    <t>дворники 1,1ед. Х 2600руб.х1,75х1,07(рез.отп.)  =</t>
  </si>
  <si>
    <t>уборщицы л/клеток 0,5 ед.х2203руб.х1,3х1,07(рез.отп.) =</t>
  </si>
  <si>
    <t>дворники  0,057х5351,8</t>
  </si>
  <si>
    <t>Мусоропроводч.0,0018х5351,8</t>
  </si>
  <si>
    <t>уборщицы 0,0085х5351,8</t>
  </si>
  <si>
    <t>Приобретение моющих средств 0,005х5351,8</t>
  </si>
  <si>
    <t>Приобретение песко-соляной смеси 0,017х5351,8</t>
  </si>
  <si>
    <t>Вывоз крупногабар. мусора 0,054х5351,8х1,058</t>
  </si>
  <si>
    <t>Сбор и вывоз ТБО( 322х1,5):12*90,3*1,058</t>
  </si>
  <si>
    <t>захоронение ТБО 322 чел.х1,5кубм/год  х 33,1руб.:12мес.*1,058    =</t>
  </si>
  <si>
    <t>электроэнергия 4650 кВт.х 2,24 руб.*1,107  =</t>
  </si>
  <si>
    <t>дератизация 530,2 кв.м х 1,279/12 мес. =</t>
  </si>
  <si>
    <t>дезинсекция 5351,8кв.м х 0,0027 =</t>
  </si>
  <si>
    <t>аварийная служба 5351,8 кв.м.*0,216</t>
  </si>
  <si>
    <t>Тех обслужив. внутридом. газовое оборудование 101,92 кв.м.х137/12/2</t>
  </si>
  <si>
    <t>кол. Кв</t>
  </si>
  <si>
    <t>озеленение придомовой террит. 5351,8 кв.м.х 0,027руб.=</t>
  </si>
  <si>
    <t>содерж.детско-спортивных площадок 5351,8 кв.м.х 0,022руб. =</t>
  </si>
  <si>
    <t>Провед. мероприятий по противопож. безопасности 0,021х5351,8 кв.м</t>
  </si>
  <si>
    <t>Приобретение контейнеров 0,053х5351,8 кв.м.</t>
  </si>
  <si>
    <t>Ремонт контейнеров 0,014х5351,8кв.м.</t>
  </si>
  <si>
    <t>техн.обслужив.5351,8 кв.м.*2,07</t>
  </si>
  <si>
    <t>1,51 ед.х24,48руб.х165,1час.х1,5х1,07(рез.отп.)   =</t>
  </si>
  <si>
    <t>Спецодежда,инструмент и инвентарь 5351,8кв.мх0,04</t>
  </si>
  <si>
    <t>Приобретение материалов 5351,8кв.м*0,97</t>
  </si>
  <si>
    <t>Приобретение моющих средств 5351,8 кв.м.х0,0037</t>
  </si>
  <si>
    <t>ГСМ 5351,8 кв.м.х0,082</t>
  </si>
  <si>
    <t>Эл.энергия сварочных аппаратов  5351,8 кв.м х0,023*1,107</t>
  </si>
  <si>
    <t>0,2227руб. Х 5351,8</t>
  </si>
  <si>
    <t>содержание мастерских 0,0257руб. х 5351,8</t>
  </si>
  <si>
    <t>услуги КВЦ 0,0945руб.х5351,8</t>
  </si>
  <si>
    <t>Расходы на управление домом 0,48руб.*5351,8</t>
  </si>
  <si>
    <t>Риски по страхованию задолженности 1%</t>
  </si>
  <si>
    <t>Размер платы за содержание и ремонт жилого помещения в многоквартирном доме №42 по Касимовскому шоссе - 11,91 руб./кв.м.</t>
  </si>
  <si>
    <t>собственников помещений в многоквартирном доме №44 по ул. Касим. шоссе - 9,49 руб./кв.м</t>
  </si>
  <si>
    <t xml:space="preserve">                                                         в том числе:</t>
  </si>
  <si>
    <t>сумма льгот</t>
  </si>
  <si>
    <t>Итого:</t>
  </si>
  <si>
    <t xml:space="preserve">дворники 5765х0,057руб. = </t>
  </si>
  <si>
    <t>уборщицы 5765 х0,0085 =</t>
  </si>
  <si>
    <t>Приобретение моющих средств 0,005х 5765</t>
  </si>
  <si>
    <t>Приобретение песко-соляной смеси 0,017х5765</t>
  </si>
  <si>
    <t>Сбор и вывоз ТБО( 348х1,5):12*90,3х1,058</t>
  </si>
  <si>
    <t>захоронение ТБО 348чел.х1,5кубм/год  х 33,1руб.:12мес.х1,058    =</t>
  </si>
  <si>
    <t>электроэнергия 750 кВт.х 2,24 руб. 1,229 =</t>
  </si>
  <si>
    <t>дератизация 5765 кв.м х  0,028  =</t>
  </si>
  <si>
    <t>дезинсекция 5765кв.м х 0,0027=</t>
  </si>
  <si>
    <t>ТО ВДГО (внутридомового газового оборудования) 0,11х5765 кв.м</t>
  </si>
  <si>
    <t>Аварийно-рем. работы 5765 х0,216 руб.</t>
  </si>
  <si>
    <t>озеленение придомовой террит. 5765кв.м.х 0,027руб.=</t>
  </si>
  <si>
    <t>содерж.детско-спортивных площадок 5765 кв.м.х 0,022 руб.=</t>
  </si>
  <si>
    <t>Провед. мероприятий по противопож. безопасности 0,022х 5765</t>
  </si>
  <si>
    <t>Приобретение контейнеров 0,053х5765 кв.м.</t>
  </si>
  <si>
    <t>Ремонт контейнеров  5765 х0,014 руб.</t>
  </si>
  <si>
    <t>Приобретение материалов 5765 кв.м.*0,97руб.</t>
  </si>
  <si>
    <t>Приобретение моющих средств 5765кв.м.х0,0037руб.</t>
  </si>
  <si>
    <t>ГСМ 5765 кв.м.х0,082руб.</t>
  </si>
  <si>
    <t>Эл.энергия сварочных аппаратов 5765 кв.м.х0,023руб.х1,229</t>
  </si>
  <si>
    <t>Аренда автотранспорта</t>
  </si>
  <si>
    <t>0,2227руб. Х 5765</t>
  </si>
  <si>
    <t>содержание мастерских 0,0257руб. х 5765</t>
  </si>
  <si>
    <t>услуги КВЦ 0,0945руб.х5765</t>
  </si>
  <si>
    <t>Расходы на управление домом 0,38руб.*5765</t>
  </si>
  <si>
    <t xml:space="preserve">Размер платы за содержание и ремонт жилого помещения, утвержденный общим собранием </t>
  </si>
  <si>
    <t>Размер платы за содержание и ремонт жилого помещения в многоквартирном доме №3 по                                ул. Новоселов-9,49 руб./кв.м.</t>
  </si>
  <si>
    <t>дворники 1,07ед. Х 2600руб.х1,75х1,07(рез.отп.)  =</t>
  </si>
  <si>
    <t>уборщицы л/клеток 0,51 ед.х2203руб.х1,3х1,07(рез.отп.) =</t>
  </si>
  <si>
    <t xml:space="preserve">дворники 4400,1 кв.м.х 0,057= </t>
  </si>
  <si>
    <t>уборщицы 4400,1 кв.м.х 0,0085 =</t>
  </si>
  <si>
    <t>Приобретение моющих средств 0,005х4400,1</t>
  </si>
  <si>
    <t>Приобретение песко-соляной смеси 0,017х4400,1</t>
  </si>
  <si>
    <t>Сбор и вывоз ТБО( 217х1,5):12*90,3х1,058</t>
  </si>
  <si>
    <t>захоронение ТБО 217чел.х1,5кубм/год  х 33,1руб.:12мес.х1,058    =</t>
  </si>
  <si>
    <t>электроэнергия 830 кВт.х 2,48руб.  =</t>
  </si>
  <si>
    <t>дератизация 4400,1кв.м х  0,028.  =</t>
  </si>
  <si>
    <t>дезинсекция 4400,1кв.м х 0,0027=</t>
  </si>
  <si>
    <t>прочистка вентканалов 36шт.х 4,81руб.:12мес.=</t>
  </si>
  <si>
    <t>ТО ВДГО (внутридомового газового оборудования) 90х80/12/3</t>
  </si>
  <si>
    <t>озеленение придомовой террит. 4400,1 кв.м.х 0,027руб.=</t>
  </si>
  <si>
    <t>содерж.детско-спортивных площадок 4400,1кв.м.х 0,022=</t>
  </si>
  <si>
    <t>Провед. мероприятий по противопож. безопасности 0,022х4400,1</t>
  </si>
  <si>
    <t>Приобретение контейнеров 0,053х4400,1</t>
  </si>
  <si>
    <t>Ремонт контейнеров 0,014х 4400,1</t>
  </si>
  <si>
    <t>1,21ед.х24,48руб.х165,1час.х1,5х1,07(рез.отп.)   =</t>
  </si>
  <si>
    <t>Приобретение моющих средств 2706,3х0,0037</t>
  </si>
  <si>
    <t>ГСМ 2706,3х0,082</t>
  </si>
  <si>
    <t>Эл.энергия сварочных аппаратов  2706,3х0,023х1,107</t>
  </si>
  <si>
    <t>Аварийно-рем. работы</t>
  </si>
  <si>
    <t>0,2227руб. Х 4400,1</t>
  </si>
  <si>
    <t>содержание мастерских 0,0257руб. х 4400,1</t>
  </si>
  <si>
    <t>услуги КВЦ 0,0945руб.х4400,1</t>
  </si>
  <si>
    <t>Расходы на управление домом 0,38руб.*4400,1</t>
  </si>
  <si>
    <t>Размер платы за содержание и ремонт жилого помещения в многоквартирном доме №7 по                             ул. Новоселов-9,49 руб./кв.м.</t>
  </si>
  <si>
    <t>дворники 1,5 ед. Х 2600руб.х1,75х1,07(рез.отп.)  =</t>
  </si>
  <si>
    <t>Уборщицы  0,7х2203х1,3х1,75х1,07(рез.отп.)</t>
  </si>
  <si>
    <t xml:space="preserve">дворники 5536,7 х0,057руб. = </t>
  </si>
  <si>
    <t>уборщицы 5536,7 х0,0085 =</t>
  </si>
  <si>
    <t>Приобретение моющих средств 0,005х 5536,7</t>
  </si>
  <si>
    <t>Приобретение песко-соляной смеси 0,017х5536,7</t>
  </si>
  <si>
    <t>Сбор и вывоз ТБО(293х1,5):12*90,3х1,058</t>
  </si>
  <si>
    <t>захоронение ТБО 293чел.х1,5кубм/год  х 33,1руб.:12мес. Х1,058  =</t>
  </si>
  <si>
    <t>электроэнергия 910 кВт.х 2,48 руб. =</t>
  </si>
  <si>
    <t>дератизация 5536,7 кв.м х  0,028  =</t>
  </si>
  <si>
    <t>дезинсекция 5536,7кв.м х 0,0027=</t>
  </si>
  <si>
    <t>ТО ВДГО (внутридомового газового оборудования) 116 кв.х80/12/3</t>
  </si>
  <si>
    <t>кол. Кварт.</t>
  </si>
  <si>
    <t>Аварийно-рем. работы 5536,7 х0,216 руб.</t>
  </si>
  <si>
    <t>озеленение придомовой террит. 5536,7кв.м.х 0,027руб.=</t>
  </si>
  <si>
    <t>содерж.детско-спортивных площадок 5536,7 кв.м.х 0,022 руб.=</t>
  </si>
  <si>
    <t>Провед. мероприятий по противопож. безопасности 0,022х 5536,7</t>
  </si>
  <si>
    <t>Приобретение контейнеров 0,053х5536,7 кв.м.</t>
  </si>
  <si>
    <t>Ремонт контейнеров  5536,7 х0,014 руб.</t>
  </si>
  <si>
    <t>Приобретение моющих средств 5536,7 кв.м.х0,0037руб.</t>
  </si>
  <si>
    <t>ГСМ 5536,7 кв.м.х0,082руб.</t>
  </si>
  <si>
    <t>Эл.энергия сварочных аппаратов 5536,7 кв.м.х0,023руб.х1,107</t>
  </si>
  <si>
    <t>0,2227руб. Х 5536,7</t>
  </si>
  <si>
    <t>содержание мастерских 0,0257руб. х 5536,7</t>
  </si>
  <si>
    <t>услуги КВЦ 0,0945руб.х 5536,7</t>
  </si>
  <si>
    <t>Расходы на управление домом 0,38руб.*5536,7</t>
  </si>
  <si>
    <t>Размер платы за содержание и ремонт жилого помещения в многоквартирном доме №19 по                                     ул. Новоселов-11,65 руб./кв.м.</t>
  </si>
  <si>
    <t>дворники 0,8ед. Х 2600руб.х1,75х1,07(рез.отп.)  =</t>
  </si>
  <si>
    <t>уборщицы л/клеток 0,4 ед.х2203руб.х1,3х1,07(рез.отп.) =</t>
  </si>
  <si>
    <t>дворники  0,057х7104</t>
  </si>
  <si>
    <t>уборщицы 0,0037х7104 *1,18</t>
  </si>
  <si>
    <t>Приобретение моющих средств 0,005х7104</t>
  </si>
  <si>
    <t>Приобретение песко-соляной смеси 0,017х7104</t>
  </si>
  <si>
    <t>Вывоз крупногабар. мусора 0,054х 7104 *1,058</t>
  </si>
  <si>
    <t>Сбор и вывоз ТБО( 381х1,5):12*90,3*1,058</t>
  </si>
  <si>
    <t>захоронение ТБО 381 чел.х1,5кубм/год  х 33,1руб.:12мес.*1,058    =</t>
  </si>
  <si>
    <t>электроэнергия 4035 кВт.х 2,48 руб.  =</t>
  </si>
  <si>
    <t>дератизация 7104 кв.м х  0,028 =</t>
  </si>
  <si>
    <t>дезинсекция 7104кв.м х 0,0027=</t>
  </si>
  <si>
    <t>аварийная служба 7104*0,216</t>
  </si>
  <si>
    <t>ТО ВДГО (внутридомового газового оборудования) 381*80/12/3</t>
  </si>
  <si>
    <t>озеленение придомовой террит. 7104 кв.м.х 0,027руб.=</t>
  </si>
  <si>
    <t>содерж.детско-спортивных площадок 7104 кв.м.х 0,022=</t>
  </si>
  <si>
    <t>Провед. мероприятий по противопож. безопасности 7104 *0,022</t>
  </si>
  <si>
    <t xml:space="preserve">Приобретение контейнеров 0,053х7104 </t>
  </si>
  <si>
    <t>Ремонт контейнеров 0,014х 7104</t>
  </si>
  <si>
    <t>техн.обслужив.7104*2,07</t>
  </si>
  <si>
    <t>тех. освидет. 1380 рубх 4шт.:12мес. х1   =</t>
  </si>
  <si>
    <t>электротехнические работы 1567х 4шт. :12мес.   =</t>
  </si>
  <si>
    <t>измерение петли "фаза-нуль" 56,4руб. Х 4 шт.:2 года :12 мес.=</t>
  </si>
  <si>
    <t>2,82 ед.х24,48руб.х165,1час.х1,5х1,07(рез.отп.)   =</t>
  </si>
  <si>
    <t>Спецодежда,инструмент и инвентарь 0,04х7104</t>
  </si>
  <si>
    <t>Приобретение материалов 7104*0,97</t>
  </si>
  <si>
    <t>Приобретение моющих средств 7104 х0,0037</t>
  </si>
  <si>
    <t>ГСМ 7104 х0,082</t>
  </si>
  <si>
    <t>Эл.энергия сварочных аппаратов  7104 х0,023х1,229</t>
  </si>
  <si>
    <t>0,2227руб. Х 7104</t>
  </si>
  <si>
    <t>содержание мастерских 0,0257руб. х 7104</t>
  </si>
  <si>
    <t>услуги КВЦ 0,0945руб.х7104</t>
  </si>
  <si>
    <t>Расходы на управление домом 0,47руб.*7104</t>
  </si>
  <si>
    <t>Рентабильность 6 %</t>
  </si>
  <si>
    <t>собственников помещений в многоквартирном доме №19 корп.1 по ул. Новоселов -11,53 руб./кв.м</t>
  </si>
  <si>
    <t xml:space="preserve">                                                                в том числе:</t>
  </si>
  <si>
    <t>дворники 0,7ед. Х 2600руб.х1,5х1,07(рез.отп.)  =</t>
  </si>
  <si>
    <t>уборщицы л/клеток 0,7 ед.х2203руб.х1,3х1,07(рез.отп.) =</t>
  </si>
  <si>
    <t>дворники  0,057х8169</t>
  </si>
  <si>
    <t>уборщицы 0,0085х8169</t>
  </si>
  <si>
    <t>Приобретение моющих средств 0,005х8169</t>
  </si>
  <si>
    <t xml:space="preserve">Приобретение песко-соляной смеси 0,017х8169 </t>
  </si>
  <si>
    <t>Вывоз крупногабар. мусора 0,054х8169 х1,058</t>
  </si>
  <si>
    <t>Сбор и вывоз ТБО( 387х1,5):12*90,3х1,058</t>
  </si>
  <si>
    <t>захоронение ТБО 387 чел.х1,5кубм/год  х 33,1руб.:12мес.х1,058    =</t>
  </si>
  <si>
    <t>электроэнергия 5500 кВт.х 2,24 руб.х1,229  =</t>
  </si>
  <si>
    <t>дератизация 8169 кв.м х  0,028 =</t>
  </si>
  <si>
    <t>дезинсекция 8169 кв.м х 0,0027 =</t>
  </si>
  <si>
    <t>аварийная служба 8169 кв.м.*0,216</t>
  </si>
  <si>
    <t>Тех обслужив. электроплит 128 шт.х100,73 руб.:12мес.</t>
  </si>
  <si>
    <t>озеленение придомовой террит. 8169 кв.м.х 0,0198*1,18руб.*1,142 =</t>
  </si>
  <si>
    <t>содерж.детско-спортивных площадок 8169 кв.м.х 0,0165руб.*1,18*1,142 =</t>
  </si>
  <si>
    <t>Провед. мероприятий по противопож. безопасности 0,021х8169 кв.м</t>
  </si>
  <si>
    <t>Приобретение контейнеров 0,0392х8169 кв.м.*1,18*1,142</t>
  </si>
  <si>
    <t>Ремонт контейнеров 0,0105х1,18х 8169 кв.м.*1,142</t>
  </si>
  <si>
    <t>техн.обслужив.8169 *2,07</t>
  </si>
  <si>
    <t>тех. освидет. 1884 рубх 4шт.:12мес. =</t>
  </si>
  <si>
    <t>электротехнические работы 1882 х 4шт. :12мес.   =</t>
  </si>
  <si>
    <t>измерение петли "фаза-нуль" 56,4 руб. Х 4 шт.:2 года :12 мес.=</t>
  </si>
  <si>
    <t>1,75 ед.х24,48руб.х165,1час.х1,5х1,07(рез.отп.)   =</t>
  </si>
  <si>
    <t>Приобретение материалов 8169 кв.м*0,97</t>
  </si>
  <si>
    <t>Приобретение моющих средств 8169 кв.м.х0,0037</t>
  </si>
  <si>
    <t>ГСМ 8169 кв.м.х0,082</t>
  </si>
  <si>
    <t>Эл.энергия сварочных аппаратов  8169 кв.м х0,023х1,229</t>
  </si>
  <si>
    <t>Заделка швов</t>
  </si>
  <si>
    <t>0,2227руб. Х 8169</t>
  </si>
  <si>
    <t>содержание мастерских 0,0257руб. х 8169</t>
  </si>
  <si>
    <t>услуги КВЦ 0,0945руб.х8169</t>
  </si>
  <si>
    <t>Расходы на управление домом 0,46руб.*8169</t>
  </si>
  <si>
    <t>собственников помещений в многоквартирном доме №1/34  по ул. Советской Армии-11,91 руб./кв.м.</t>
  </si>
  <si>
    <t>дворники  0,057х5548,1</t>
  </si>
  <si>
    <t>Мусоропроводч.0,0018х5548,1</t>
  </si>
  <si>
    <t>уборщицы 0,0085х5548,1</t>
  </si>
  <si>
    <t>Приобретение моющих средств 0,005х5548,1</t>
  </si>
  <si>
    <t>Приобретение песко-соляной смеси 0,017х5548,1</t>
  </si>
  <si>
    <t>Вывоз крупногабар. мусора 0,054х5548,1</t>
  </si>
  <si>
    <t>Сбор и вывоз ТБО( 306х1,5):12*90,3х1,058</t>
  </si>
  <si>
    <t>захоронение ТБО 306 чел.х1,5кубм/год  х 33,1руб.:12мес.х1,058    =</t>
  </si>
  <si>
    <t>электроэнергия 5300 кВт.х 2,48 руб.  =</t>
  </si>
  <si>
    <t>дезинсекция 5548,1кв.м х 0,0027 =</t>
  </si>
  <si>
    <t>аварийная служба 5548,1 кв.м.*0,216</t>
  </si>
  <si>
    <t>Тех обслужив. внутридом. газовое оборудование 142*80/12/3</t>
  </si>
  <si>
    <t>кол.кв.</t>
  </si>
  <si>
    <t>озеленение придомовой террит. 5548,1 кв.м.х 0,027руб.=</t>
  </si>
  <si>
    <t>содерж.детско-спортивных площадок 5548,1 кв.м.х 0,022руб. =</t>
  </si>
  <si>
    <t>Провед. мероприятий по противопож. безопасности 0,021х5548,1 кв.м</t>
  </si>
  <si>
    <t>Приобретение контейнеров 0,053х5548,1кв.м.</t>
  </si>
  <si>
    <t>Ремонт контейнеров 0,014х5548,1кв.м.</t>
  </si>
  <si>
    <t>техн.обслужив.5548,1 кв.м.*2,07</t>
  </si>
  <si>
    <t>1,57 ед.х24,48руб.х165,1час.х1,5х1,07(рез.отп.)   =</t>
  </si>
  <si>
    <t>Спецодежда,инструмент и инвентарь 5548,1кв.мх0,04</t>
  </si>
  <si>
    <t>Приобретение материалов 5548,1кв.м*0,97</t>
  </si>
  <si>
    <t>Приобретение моющих средств 5548,1 кв.м.х0,0037</t>
  </si>
  <si>
    <t>ГСМ 5548,1 кв.м.х0,082</t>
  </si>
  <si>
    <t>Эл.энергия сварочных аппаратов  5548,1 кв.м х0,023х1,107</t>
  </si>
  <si>
    <t>0,2227 х5548,1</t>
  </si>
  <si>
    <t>содержание мастерских 0,0257 х 5548,1</t>
  </si>
  <si>
    <t>услуги КВЦ 0,0945х5548,1</t>
  </si>
  <si>
    <t>Расходы на управление домом 0,48*5760,6</t>
  </si>
  <si>
    <t xml:space="preserve">Размер платы за содержание и ремонт жилого помещения,утвержденный общим собранием </t>
  </si>
  <si>
    <t>собственников помещений в многоквартирном доме №2 по ул. Сов. Армии -11,65 руб./кв.м</t>
  </si>
  <si>
    <t>пл. кровли-480 кв.м</t>
  </si>
  <si>
    <t>дворники  0,057х 3662,4</t>
  </si>
  <si>
    <t>уборщицы 0,0085х 3662,4</t>
  </si>
  <si>
    <t>Приобретение моющих средств 0,0050х 3662,4</t>
  </si>
  <si>
    <t>Приобретение песко-соляной смеси 0,017х 3662,4</t>
  </si>
  <si>
    <t>Вывоз крупногабар. мусора 0,054х 3662,4х1,058</t>
  </si>
  <si>
    <t>Сбор и вывоз ТБО( 203х1,5):12*90,3х1,058</t>
  </si>
  <si>
    <t>захоронение ТБО 203 чел.х1,5кубм/год  х 33,1руб.:12мес. Х1,058   =</t>
  </si>
  <si>
    <t>электроэнергия 2550 кВт.х 2,24 руб.х1,229 =</t>
  </si>
  <si>
    <t>дератизация 480кв.м.х1,27/12 =</t>
  </si>
  <si>
    <t>дезинсекция 3662,4кв.м х 0,0027 =</t>
  </si>
  <si>
    <t>аварийная служба 3662,4* 0,216</t>
  </si>
  <si>
    <t>прочистка вентканалов 21шт.х 4,81руб.:12мес.=</t>
  </si>
  <si>
    <t>ТО ВДГО (внутридомового газового оборудования) 0,109х3662,4</t>
  </si>
  <si>
    <t>озеленение придомовой террит. 3662,4 кв.м.х 0,027руб.=</t>
  </si>
  <si>
    <t xml:space="preserve">содерж.детско-спортивных площадок </t>
  </si>
  <si>
    <t xml:space="preserve">Провед. мероприятий по противопож. безопасности </t>
  </si>
  <si>
    <t xml:space="preserve">Приобретение контейнеров </t>
  </si>
  <si>
    <t xml:space="preserve">Ремонт контейнеров </t>
  </si>
  <si>
    <t>техн.обслужив.3662,4 *2,07</t>
  </si>
  <si>
    <t>тех. освидет. 1596 рубх 2шт.:12мес.    =</t>
  </si>
  <si>
    <t>электротехнические работы 1702х 2шт. :12мес.   =</t>
  </si>
  <si>
    <t>измерение петли "фаза-нуль" 56,4 *руб.х2:2 года :12 мес.=</t>
  </si>
  <si>
    <t>1,42 ед.х24,48руб.х165,6час.х1,5х1,07(рез.отп.)   =</t>
  </si>
  <si>
    <t>Приобретение материалов 3662,4*0,97</t>
  </si>
  <si>
    <t>Приобретение моющих средств 3662,4 х0,0037</t>
  </si>
  <si>
    <t>ГСМ 3662,4 х0,082</t>
  </si>
  <si>
    <t>Эл.энергия сварочных аппаратов  3662,4 х0,023х1,229</t>
  </si>
  <si>
    <t>0,2227руб. Х 3662,4</t>
  </si>
  <si>
    <t>содержание мастерских 0,0257руб. х 3662,4</t>
  </si>
  <si>
    <t>услуги КВЦ 0,0945руб.х 3662,4</t>
  </si>
  <si>
    <t>Расходы на управление домом 0,47руб.* 3662,4</t>
  </si>
  <si>
    <t>Рентабильность  6 %</t>
  </si>
  <si>
    <t>Размер платы за содержание и ремонт жилого помещения в многоквартирном доме №3 по                     ул. Советской Армии-11,91руб./кв.м.</t>
  </si>
  <si>
    <t>дворники 4,1ед. Х 2600руб.х1,75х1,07(рез.отп.)  =</t>
  </si>
  <si>
    <t>м/проводчики 1,5ед.х 2600руб.х1,5х1,07(рез.отп.)  =</t>
  </si>
  <si>
    <t>уборщицы л/клеток 2,1 ед.х2203руб.х1,3х1,07(рез.отп.) =</t>
  </si>
  <si>
    <t>дворники  0,057х19541,7</t>
  </si>
  <si>
    <t>уборщицы 0,0085х19541,7</t>
  </si>
  <si>
    <t>м/проводчики 0,0018х19541,7</t>
  </si>
  <si>
    <t>Приобретение моющих средств 0,005х19541,7</t>
  </si>
  <si>
    <t>Приобретение песко-соляной смеси 0,017х19541,7</t>
  </si>
  <si>
    <t>Вывоз крупногабар. мусора 0,054х 19541,7х1,058</t>
  </si>
  <si>
    <t>Сбор и вывоз ТБО( 1015х1,5):12*90,3х1,058</t>
  </si>
  <si>
    <t>захоронение ТБО 1015 чел.х1,5кубм/год  х 33,1руб.:12мес. Х1,058  =</t>
  </si>
  <si>
    <t>электроэнергия 6100 кВт.х 2,48 руб. =</t>
  </si>
  <si>
    <t>дератизация 19541,7кв.м х  0,028 =</t>
  </si>
  <si>
    <t>дезинсекция 19541,7кв.м х 0,0027=</t>
  </si>
  <si>
    <t>аварийная служба 19541,7*0,216</t>
  </si>
  <si>
    <t>прочистка вентканалов 132шт.х 4,81руб.:12мес.=</t>
  </si>
  <si>
    <t>ТО ВДГО (внутридомового газового оборудования) 80*394/12/3</t>
  </si>
  <si>
    <t>озеленение придомовой террит. 19541,7 кв.м.х 0,027руб.=</t>
  </si>
  <si>
    <t>содерж.детско-спортивных площадок 19541,7кв.м.х 0,022руб.=</t>
  </si>
  <si>
    <t>Провед. мероприятий по противопож. безопасности 0,022х19541,7</t>
  </si>
  <si>
    <t>Приобретение контейнеров 0,053х19541,7</t>
  </si>
  <si>
    <t>Ремонт контейнеров 0,014х 19541,7</t>
  </si>
  <si>
    <t>техн.обслужив.19541,7*2,07</t>
  </si>
  <si>
    <t>тех. освидет. 1380 рубх 11шт.:12мес. х1   =</t>
  </si>
  <si>
    <t>электротехнические работы 1567х 11шт. :12мес.   =</t>
  </si>
  <si>
    <t>измерение петли "фаза-нуль" 56,4 *руб. Х 11 шт.:2 года :12 мес.=</t>
  </si>
  <si>
    <t>5,14ед.х24,48руб.х165,1час.х1,5х1,07(рез.отп.)   =</t>
  </si>
  <si>
    <t>Приобретение моющих средств 19541,7х0,0037</t>
  </si>
  <si>
    <t>ГСМ 19541,7х0,082</t>
  </si>
  <si>
    <t>Эл.энергия сварочных аппаратов  19541,7х0,023х1,107</t>
  </si>
  <si>
    <t>0,2227руб. Х19541,7</t>
  </si>
  <si>
    <t>содержание мастерских 0,0257руб. х 19541,7</t>
  </si>
  <si>
    <t>услуги КВЦ 0,0945руб.х19541,7</t>
  </si>
  <si>
    <t>Расходы на управление домом 0,48руб.*19541,7</t>
  </si>
  <si>
    <t>Рентабильность  6%</t>
  </si>
  <si>
    <t>дворники 0,92 ед. Х 2600руб.х1,75х1,07(рез.отп.)  =</t>
  </si>
  <si>
    <t>уборщицы л/клеток 0,62 ед.х2203руб.х1,3х1,07(рез.отп.) =</t>
  </si>
  <si>
    <t xml:space="preserve">дворники 4389,7 кв.м.х 0,057 = </t>
  </si>
  <si>
    <t>уборщицы 4389,7 кв.м.х 0,0085 =</t>
  </si>
  <si>
    <t>Приобретение моющих средств 0,005х4389,7</t>
  </si>
  <si>
    <t>Приобретение песко-соляной смеси 0,017х4389,7</t>
  </si>
  <si>
    <t>Сбор и вывоз ТБО( 291х1,5):12*90,3*1,058</t>
  </si>
  <si>
    <t>захоронение ТБО 291чел.х1,5кубм/год  х 33,1руб.:12мес.х1,058    =</t>
  </si>
  <si>
    <t>электроэнергия 1000 кВт.х 2,48 руб.  =</t>
  </si>
  <si>
    <t>дератизация 4389,7кв.м х  0,028  =</t>
  </si>
  <si>
    <t>дезинсекция 4389,7кв.м х 0,0027=</t>
  </si>
  <si>
    <t>ТО ВДГО (внутридомового газового оборудования) 80*90/12/3</t>
  </si>
  <si>
    <t>озеленение придомовой террит. 4389,7 кв.м.х 0,027руб.=</t>
  </si>
  <si>
    <t>содерж.детско-спортивных площадок 4389,7кв.м.х 0,022=</t>
  </si>
  <si>
    <t>Провед. мероприятий по противопож. безопасности 0,022х4389,7</t>
  </si>
  <si>
    <t>Приобретение контейнеров 0,053х4389,7</t>
  </si>
  <si>
    <t>Ремонт контейнеров 0,014х 4389,7</t>
  </si>
  <si>
    <t>Приобретение моющих средств 4389,7х0,0037</t>
  </si>
  <si>
    <t>ГСМ 4389,7х0,082</t>
  </si>
  <si>
    <t>Эл.энергия сварочных аппаратов  4389,7х0,023х1,107</t>
  </si>
  <si>
    <t>0,2227руб. Х 4389,7</t>
  </si>
  <si>
    <t>содержание мастерских 0,0257руб. х 4389,7</t>
  </si>
  <si>
    <t>услуги КВЦ 0,0945руб.х 4389,7</t>
  </si>
  <si>
    <t>Расходы на управление домом 0,38руб.* 4389,7</t>
  </si>
  <si>
    <t>Размер платы за содержание и ремонт жилого помещения в многоквартирном доме №3 корп.2 по                       ул. Советской Армии-9,49 руб./кв.м.</t>
  </si>
  <si>
    <t>собственников помещений в многоквартирном доме №4 корп.1 по ул. Сов. Армии - 9,49 руб./кв.м</t>
  </si>
  <si>
    <t>дворники 0,82 ед. Х 2600руб.х1,75х1,07(рез.отп.)  =</t>
  </si>
  <si>
    <t>Уборщицы  0,51х2203х1,3х1,75х1,07(рез.отп.)</t>
  </si>
  <si>
    <t xml:space="preserve">дворники 4336,5х0,057руб. = </t>
  </si>
  <si>
    <t>уборщицы 4336,5х0,0085 =</t>
  </si>
  <si>
    <t>Приобретение моющих средств 0,005х4336,5</t>
  </si>
  <si>
    <t>Приобретение песко-соляной смеси 0,017х4336,5</t>
  </si>
  <si>
    <t>Сбор и вывоз ТБО( 259х1,5):12*90,3х1,058</t>
  </si>
  <si>
    <t>захоронение ТБО 259 чел.х1,5кубм/год  х 33,1руб.:12мес. Х1,058   =</t>
  </si>
  <si>
    <t>электроэнергия 6500 кВт.х 2,24 руб.х1,229  =</t>
  </si>
  <si>
    <t>дератизация 4336,5 кв.м х  0,028  =</t>
  </si>
  <si>
    <t>дезинсекция 4336,5кв.м х 0,0027=</t>
  </si>
  <si>
    <t>ТО ВДГО (внутридомового газового оборудования) 0,11х4336,5кв.м</t>
  </si>
  <si>
    <t>Аварийно-рем. Работы 4336,5х0,216 руб.</t>
  </si>
  <si>
    <t>озеленение придомовой террит. 4336,5кв.м.х 0,027руб.=</t>
  </si>
  <si>
    <t>содерж.детско-спортивных площадок 4336,5 кв.м.х 0,022 руб.=</t>
  </si>
  <si>
    <t>Провед. мероприятий по противопож. безопасности 0,022х4336,5</t>
  </si>
  <si>
    <t>Приобретение контейнеров 0,053х4336,5</t>
  </si>
  <si>
    <t>Ремонт контейнеров  4336,5х0,014 руб.</t>
  </si>
  <si>
    <t>1,22ед.х24,48руб.х165,6час.х1,5х1,07(рез.отп.)   =</t>
  </si>
  <si>
    <t>Приобретение моющих средств 4336,5х0,0037</t>
  </si>
  <si>
    <t>ГСМ 4336,5х0,082</t>
  </si>
  <si>
    <t>Эл.энергия сварочных аппаратов  4336,5х0,023х1,229</t>
  </si>
  <si>
    <t>0,2227руб. Х 4336,5</t>
  </si>
  <si>
    <t>содержание мастерских 0,0257руб. х 4336,5</t>
  </si>
  <si>
    <t>услуги КВЦ 0,0945руб.х4336,5</t>
  </si>
  <si>
    <t>Расходы на управление домом 0,38руб.*4336,5</t>
  </si>
  <si>
    <t>Размер платы за содержание и ремонт жилого помещения в многоквартирном доме №7 по                            ул. Советской Армии-11,65 руб./кв.м.</t>
  </si>
  <si>
    <t xml:space="preserve">   З/плата:</t>
  </si>
  <si>
    <t>дворники 2,6ед. Х 2600руб.х1,75х1,07(рез.отп.)  =</t>
  </si>
  <si>
    <t>уборщицы л/клеток 2 ед.х2203руб.х1,3х1,07(рез.отп.) =</t>
  </si>
  <si>
    <t>дворники  0,057х4680,7</t>
  </si>
  <si>
    <t xml:space="preserve">уборщицы 0,0085х4680,7 </t>
  </si>
  <si>
    <t>Приобретение моющих средств 0,005х4680,7</t>
  </si>
  <si>
    <t>Приобретение песко-соляной смеси 0,017х4680,7</t>
  </si>
  <si>
    <t>Вывоз крупногабар. мусора 0,054х 4680,7</t>
  </si>
  <si>
    <t>Сбор и вывоз ТБО( 311х1,5):12*90,3*1,058</t>
  </si>
  <si>
    <t>захоронение ТБО 311 чел.х1,5кубм/год  х 33,1руб.:12мес.*1,058    =</t>
  </si>
  <si>
    <t>электроэнергия 2240 кВт.х 2,48 руб.  =</t>
  </si>
  <si>
    <t>дератизация 4680,7кв.м х  0,028 =</t>
  </si>
  <si>
    <t>дезинсекция 4680,7кв.м х 0,0027=</t>
  </si>
  <si>
    <t>аварийная служба 4680,7*0,216</t>
  </si>
  <si>
    <t>ТО ВДГО (внутридомового газового оборудования) 80*71/12/3</t>
  </si>
  <si>
    <t>озеленение придомовой террит. 4680,7 кв.м.х 0,027руб.=</t>
  </si>
  <si>
    <t>содерж.детско-спортивных площадок 4680,7кв.м.х 0,022=</t>
  </si>
  <si>
    <t>Провед. мероприятий по противопож. безопасности 4680,7 *0,022</t>
  </si>
  <si>
    <t>Приобретение контейнеров 0,053х4680,7</t>
  </si>
  <si>
    <t>Ремонт контейнеров 0,014х 4680,7</t>
  </si>
  <si>
    <t>техн.обслужив.4680,7*2,07</t>
  </si>
  <si>
    <t>тех. освидет. 1380 рубх 1шт.:12мес. х1   =</t>
  </si>
  <si>
    <t>электротехнические работы 1567х 1шт. :12мес.   =</t>
  </si>
  <si>
    <t>измерение петли "фаза-нуль" 56,4руб. Х 1 шт.:2 года :12 мес.=</t>
  </si>
  <si>
    <t>2,39 ед.х24,48руб.х165,1час.х1,5х1,07(рез.отп.)   =</t>
  </si>
  <si>
    <t>Спецодежда,инструмент и инвентарь 0,04х4680,7</t>
  </si>
  <si>
    <t>Приобретение материалов 4680,7*0,97</t>
  </si>
  <si>
    <t>Приобретение моющих средств 4680,7 х0,0037</t>
  </si>
  <si>
    <t>ГСМ 4680,7 х0,082</t>
  </si>
  <si>
    <t>Эл.энергия сварочных аппаратов  4680,7х0,023х1,107</t>
  </si>
  <si>
    <t>0,2227руб. Х 4680,7</t>
  </si>
  <si>
    <t>содержание мастерских 0,0257руб. х 4680,7</t>
  </si>
  <si>
    <t>услуги КВЦ 0,0945руб.х4680,7</t>
  </si>
  <si>
    <t>Расходы на управление домом 0,47руб.*4680,7</t>
  </si>
  <si>
    <t>Размер платы за содержание и ремонт жилого помещения в многоквартирном доме №10 по                                          ул. Советской Армии-9,49 руб./кв.м.</t>
  </si>
  <si>
    <t>дворники 0,69 ед. Х 2600руб.х1,75х1,07(рез.отп.)  =</t>
  </si>
  <si>
    <t xml:space="preserve">дворники 2717,6 х0,057руб. = </t>
  </si>
  <si>
    <t>уборщицы 2717,6 х0,0085 =</t>
  </si>
  <si>
    <t>Приобретение моющих средств 0,005х 2717,6</t>
  </si>
  <si>
    <t>Приобретение песко-соляной смеси 0,017х2717,6</t>
  </si>
  <si>
    <t>Сбор и вывоз ТБО( 137х1,5):12*90,3х1,058</t>
  </si>
  <si>
    <t>захоронение ТБО 137чел.х1,5кубм/год  х 33,1руб.:12мес. Х1,058  =</t>
  </si>
  <si>
    <t>электроэнергия 875 кВт.х 2,48 руб.  =</t>
  </si>
  <si>
    <t>дератизация 2717,6 кв.м х  0,028  =</t>
  </si>
  <si>
    <t>дезинсекция 2717,6кв.м х 0,0027=</t>
  </si>
  <si>
    <t>Аварийно-рем. работы 2717,6 х0,216 руб.</t>
  </si>
  <si>
    <t>озеленение придомовой террит. 2717,6кв.м.х 0,027руб.=</t>
  </si>
  <si>
    <t>содерж.детско-спортивных площадок 2717,6 кв.м.х 0,022 руб.=</t>
  </si>
  <si>
    <t>Провед. мероприятий по противопож. безопасности 0,022х 2717,6</t>
  </si>
  <si>
    <t>Приобретение контейнеров 0,053х2717,6 кв.м.</t>
  </si>
  <si>
    <t>Ремонт контейнеров  2717,6 х0,014 руб.</t>
  </si>
  <si>
    <t>Приобретение моющих средств 2717,6 кв.м.х0,0037руб.</t>
  </si>
  <si>
    <t>ГСМ 2717,6 кв.м.х0,082руб.</t>
  </si>
  <si>
    <t>Эл.энергия сварочных аппаратов 2717,6 кв.м.х0,023руб.х1,107</t>
  </si>
  <si>
    <t>0,2227руб. Х 2717,6</t>
  </si>
  <si>
    <t>содержание мастерских 0,0257руб. х 2717,6</t>
  </si>
  <si>
    <t>услуги КВЦ 0,0945руб.х 2717,6</t>
  </si>
  <si>
    <t>Расходы на управление домом 0,38руб.*2717,6</t>
  </si>
  <si>
    <t>собственников помещений в многоквартирном доме №12 по ул. Сов. Армии - 9,49 руб./кв.м</t>
  </si>
  <si>
    <t>пл. кровли-690,2 кв.м</t>
  </si>
  <si>
    <t>дворники 0,8ед. Х 2600 руб.х1,75х1,07(рез.отп.)  =</t>
  </si>
  <si>
    <t>уборщицы л/клеток 0,34 ед.х2203руб.х1,3х1,07(рез.отп.) =</t>
  </si>
  <si>
    <t xml:space="preserve">дворники 2707,7кв.м.х 0,057= </t>
  </si>
  <si>
    <t>уборщицы 270,7,7кв.м.х 0,0085 руб. =</t>
  </si>
  <si>
    <t>Приобретение моющих средств 0,005х2707,7</t>
  </si>
  <si>
    <t>Приобретение песко-соляной смеси 0,017 руб.х2707,7</t>
  </si>
  <si>
    <t>Сбор и вывоз ТБО( 142х1,5):12*90,3х1,058</t>
  </si>
  <si>
    <t>захоронение ТБО 142чел.х1,5кубм/год  х 33,1руб.:12мес.х1,058    =</t>
  </si>
  <si>
    <t>электроэнергия 620 кВт.х 2,24 руб.х1,229  =</t>
  </si>
  <si>
    <t>дератизация 2707,70 кв.м х  0,028.  =</t>
  </si>
  <si>
    <t>дезинсекция 2707,7 кв.м х 0,0027=</t>
  </si>
  <si>
    <t>ТО ВДГО (внутридомового газового оборудования) 0,11х2707,7кв.м</t>
  </si>
  <si>
    <t>Аварийно-рем. работы 0,216х2707,7</t>
  </si>
  <si>
    <t>озеленение придомовой террит. 2707,7 кв.м.х 0,027руб.=</t>
  </si>
  <si>
    <t>содерж.детско-спортивных площадок 2707,7 кв.м.х 0,022 руб.=</t>
  </si>
  <si>
    <t>Провед. мероприятий по противопож. безопасности 0,021х2707,7</t>
  </si>
  <si>
    <t>Приобретение контейнеров 0,053х2707,7</t>
  </si>
  <si>
    <t>Ремонт контейнеров 0,014х 2707,7</t>
  </si>
  <si>
    <t>0,76ед.х24,48руб.х165,1час.х1,5х1,07(рез.отп.)   =</t>
  </si>
  <si>
    <t>Приобретение моющих средств 2707,7х0,0037</t>
  </si>
  <si>
    <t>ГСМ 2707,7х0,082</t>
  </si>
  <si>
    <t>Эл.энергия сварочных аппаратов  2707,7х0,023х1,229</t>
  </si>
  <si>
    <t>0,2227руб. Х 2707,70</t>
  </si>
  <si>
    <t>содержание мастерских 0,0257руб. х 2707,70</t>
  </si>
  <si>
    <t>услуги КВЦ 0,0945руб.х2707,70</t>
  </si>
  <si>
    <t>Расходы на управление домом 0,38руб.*2707,70</t>
  </si>
  <si>
    <t>собственников помещений в многоквартирном доме №14/9 по ул. Сов. Армии - 9,49 руб./кв.м</t>
  </si>
  <si>
    <t>дворники 1,08д. Х 2600руб.х1,75х1,07(рез.отп.)  =</t>
  </si>
  <si>
    <t xml:space="preserve">дворники 4279,9х0,057руб. = </t>
  </si>
  <si>
    <t>уборщицы 4279,9х0,0085 =</t>
  </si>
  <si>
    <t>Приобретение моющих средств 0,005х4279,9</t>
  </si>
  <si>
    <t>Приобретение песко-соляной смеси 0,017х4279,9</t>
  </si>
  <si>
    <t>Сбор и вывоз ТБО( 234х1,5):12*90,3х1,058</t>
  </si>
  <si>
    <t>захоронение ТБО 234 чел.х1,5кубм/год  х 33,1руб.:12мес. Х1,058   =</t>
  </si>
  <si>
    <t>дератизация 4279,9 кв.м х  0,028  =</t>
  </si>
  <si>
    <t>дезинсекция 4279,9кв.м х 0,0027=</t>
  </si>
  <si>
    <t>ТО ВДГО (внутридомового газового оборудования) 0,11х4279,9кв.м</t>
  </si>
  <si>
    <t>Аварийно-рем. Работы 4279,9х0,216 руб.</t>
  </si>
  <si>
    <t>озеленение придомовой террит. 4279,9кв.м.х 0,027руб.=</t>
  </si>
  <si>
    <t>содерж.детско-спортивных площадок 4279,9 кв.м.х 0,022 руб.=</t>
  </si>
  <si>
    <t>Провед. мероприятий по противопож. безопасности 0,022х4279,9=</t>
  </si>
  <si>
    <t>Приобретение контейнеров 0,053х4279,9</t>
  </si>
  <si>
    <t>Ремонт контейнеров  4279,9 кв.м.х0,014 руб.</t>
  </si>
  <si>
    <t>1,29ед.х24,48руб.х165,6час.х1,5х1,07(рез.отп.)   =</t>
  </si>
  <si>
    <t>Приобретение материалов</t>
  </si>
  <si>
    <t>Приобретение моющих средств 4279,9х0,0037</t>
  </si>
  <si>
    <t>ГСМ 4279,9х0,082</t>
  </si>
  <si>
    <t>Эл.энергия сварочных аппаратов  4279,9 кв.м.х0,023</t>
  </si>
  <si>
    <t>0,2227руб. Х 4279,9</t>
  </si>
  <si>
    <t>содержание мастерских 0,0257руб. х 4279,9</t>
  </si>
  <si>
    <t>услуги КВЦ 0,0945руб.х4279,9</t>
  </si>
  <si>
    <t>Расходы на управление домом 0,38руб.*4279,9</t>
  </si>
  <si>
    <t>Размер платы за содержание и ремонт жилого помещения в многоквартирном доме №8 по                                     ул. Тимакова-11,91 руб./кв.м.</t>
  </si>
  <si>
    <t>м/проводчики 0,4ед.х 2600руб.х1,5х1,07(рез.отп.)  =</t>
  </si>
  <si>
    <t>уборщицы л/клеток 1 ед.х2203руб.х1,3х1,07(рез.отп.) =</t>
  </si>
  <si>
    <t>дворники  0,057х4241,6</t>
  </si>
  <si>
    <t>уборщицы 0,0085х4241,6</t>
  </si>
  <si>
    <t>м/проводчики 0,0018х4241,6</t>
  </si>
  <si>
    <t>Приобретение моющих средств 0,005х4241,6</t>
  </si>
  <si>
    <t>Приобретение песко-соляной смеси 0,017х4241,6</t>
  </si>
  <si>
    <t>Вывоз крупногабар. мусора 0,054х 4241,6х1,058</t>
  </si>
  <si>
    <t>захоронение ТБО 300 чел.х1,5кубм/год  х 33,1руб.:12мес. Х1,058  =</t>
  </si>
  <si>
    <t>электроэнергия 2258 кВт.х 2,24 руб.х1,107  =</t>
  </si>
  <si>
    <t>дератизация 4241,6кв.м х  0,028 =</t>
  </si>
  <si>
    <t>дезинсекция 4241,6кв.м х 0,0027=</t>
  </si>
  <si>
    <t>аварийная служба 4241,6*0,216</t>
  </si>
  <si>
    <t>ТО ВДГО (внутридомового газового оборудования) 80*168/12/3</t>
  </si>
  <si>
    <t>озеленение придомовой террит. 4241,6 кв.м.х 0,027руб.=</t>
  </si>
  <si>
    <t>содерж.детско-спортивных площадок 4241,6кв.м.х 0,022руб.=</t>
  </si>
  <si>
    <t>Провед. мероприятий по противопож. безопасности 0,022х4241,6</t>
  </si>
  <si>
    <t>Приобретение контейнеров 0,053х4241,6</t>
  </si>
  <si>
    <t>Ремонт контейнеров 0,014х 4241,6</t>
  </si>
  <si>
    <t>техн.обслужив.4241,6*2,07</t>
  </si>
  <si>
    <t>измерение петли "фаза-нуль" 56,4 *руб. Х 1 шт.:2 года :12 мес.=</t>
  </si>
  <si>
    <t>1,35ед.х24,48руб.х165,1час.х1,5х1,07(рез.отп.)   =</t>
  </si>
  <si>
    <t>Приобретение моющих средств 4241,6х0,0037</t>
  </si>
  <si>
    <t>ГСМ 4241,6х0,082</t>
  </si>
  <si>
    <t>Эл.энергия сварочных аппаратов  4241,6х0,023х1,107</t>
  </si>
  <si>
    <t>0,2227руб. Х4241,6</t>
  </si>
  <si>
    <t>содержание мастерских 0,0257руб. х 4241,6</t>
  </si>
  <si>
    <t>услуги КВЦ 0,0945руб.х4241,6</t>
  </si>
  <si>
    <t>Расходы на управление домом 0,48руб.*4241,6</t>
  </si>
  <si>
    <t>Размер платы за содержание и ремонт жилого помещения в многоквартирном доме №10 по                              ул. Тимакова-11,91 руб./кв.м.</t>
  </si>
  <si>
    <t>дворники  0,057х4322</t>
  </si>
  <si>
    <t>уборщицы 0,0085х4322</t>
  </si>
  <si>
    <t>м/проводчики 0,0018х4322</t>
  </si>
  <si>
    <t>Приобретение моющих средств 0,005х4322</t>
  </si>
  <si>
    <t>Приобретение песко-соляной смеси 0,017х4322</t>
  </si>
  <si>
    <t>Вывоз крупногабар. мусора 0,054х 4322х1,058</t>
  </si>
  <si>
    <t>Сбор и вывоз ТБО( 310х1,5):12*90,3х1,058</t>
  </si>
  <si>
    <t>захоронение ТБО 310 чел.х1,5кубм/год  х 33,1руб.:12мес. Х1,058  =</t>
  </si>
  <si>
    <t>электроэнергия 2318 кВт.х 2,48 руб.  =</t>
  </si>
  <si>
    <t>дератизация 4322кв.м х  0,028 =</t>
  </si>
  <si>
    <t>дезинсекция 4322кв.м х 0,0027=</t>
  </si>
  <si>
    <t>аварийная служба 4322*0,216</t>
  </si>
  <si>
    <t>ТО ВДГО (внутридомового газового оборудования) 80*168/12/2</t>
  </si>
  <si>
    <t>озеленение придомовой террит. 4322 кв.м.х 0,027руб.=</t>
  </si>
  <si>
    <t>содерж.детско-спортивных площадок 4322кв.м.х 0,022руб.=</t>
  </si>
  <si>
    <t>Провед. мероприятий по противопож. безопасности 0,022х4322</t>
  </si>
  <si>
    <t>Приобретение контейнеров 0,053х4322</t>
  </si>
  <si>
    <t>Ремонт контейнеров 0,014х 4322</t>
  </si>
  <si>
    <t>техн.обслужив.4322*2,07</t>
  </si>
  <si>
    <t>1,36ед.х24,48руб.х165,1час.х1,5х1,07(рез.отп.)   =</t>
  </si>
  <si>
    <t>Приобретение моющих средств 4322х0,0037</t>
  </si>
  <si>
    <t>ГСМ 4322х0,082</t>
  </si>
  <si>
    <t>Эл.энергия сварочных аппаратов  4322х0,023х1,107</t>
  </si>
  <si>
    <t>0,2227руб. Х4322</t>
  </si>
  <si>
    <t>содержание мастерских 0,0257руб. х 4322</t>
  </si>
  <si>
    <t>услуги КВЦ 0,0945руб.х4322</t>
  </si>
  <si>
    <t>Расходы на управление домом 0,48руб.*4322</t>
  </si>
  <si>
    <t>Размер платы за содержание и ремонт жилого помещения в многоквартирном доме №12 по                            ул. Тимакова-11,91руб./кв.м.</t>
  </si>
  <si>
    <t>дворники 0,9ед. Х 2600руб.х1,75х1,07(рез.отп.)  =</t>
  </si>
  <si>
    <t>дворники  0,057х4317,7</t>
  </si>
  <si>
    <t>уборщицы 0,0085х4317,7</t>
  </si>
  <si>
    <t>м/проводчики 0,0018х4317,7</t>
  </si>
  <si>
    <t>Приобретение моющих средств 0,005х4317,7</t>
  </si>
  <si>
    <t>Приобретение песко-соляной смеси 0,017х4317,7</t>
  </si>
  <si>
    <t>Вывоз крупногабар. мусора 0,054х 4317,7х1,058</t>
  </si>
  <si>
    <t>Сбор и вывоз ТБО( 288х1,5):12*90,3х1,058</t>
  </si>
  <si>
    <t>захоронение ТБО 288 чел.х1,5кубм/год  х 33,1руб.:12мес. Х1,058  =</t>
  </si>
  <si>
    <t>электроэнергия 1282 кВт.х 2,48 руб. =</t>
  </si>
  <si>
    <t>дератизация 4317,7кв.м х  0,028 =</t>
  </si>
  <si>
    <t>дезинсекция 4317,7кв.м х 0,0027=</t>
  </si>
  <si>
    <t>аварийная служба 4317,7*0,216</t>
  </si>
  <si>
    <t>прочистка вентканалов 57шт.х 4,81руб.:12мес.=</t>
  </si>
  <si>
    <t>озеленение придомовой террит. 4317,7 кв.м.х 0,027руб.=</t>
  </si>
  <si>
    <t>содерж.детско-спортивных площадок 4317,7кв.м.х 0,022руб.=</t>
  </si>
  <si>
    <t>Провед. мероприятий по противопож. безопасности 0,022х4317,7</t>
  </si>
  <si>
    <t>Приобретение контейнеров 0,053х4317,7</t>
  </si>
  <si>
    <t>Ремонт контейнеров 0,014х 4317,7</t>
  </si>
  <si>
    <t>техн.обслужив.4317,7*2,07</t>
  </si>
  <si>
    <t>Приобретение моющих средств 4317,7х0,0037</t>
  </si>
  <si>
    <t>ГСМ 4317,7х0,082</t>
  </si>
  <si>
    <t>Эл.энергия сварочных аппаратов  4317,7х0,023х1,107</t>
  </si>
  <si>
    <t>0,2227руб. Х4317,7</t>
  </si>
  <si>
    <t>содержание мастерских 0,0257руб. х 4317,7</t>
  </si>
  <si>
    <t>услуги КВЦ 0,0945руб.х4317,7</t>
  </si>
  <si>
    <t>Расходы на управление домом 0,48руб.*4317,7</t>
  </si>
  <si>
    <t>уборщицы л/клеток 1ед.х2203руб.х1,3х1,07(рез.отп.) =</t>
  </si>
  <si>
    <t>дворники  0,057х4346,7</t>
  </si>
  <si>
    <t>уборщицы 0,0085х4346,7</t>
  </si>
  <si>
    <t>Приобретение моющих средств 0,005х4346,7</t>
  </si>
  <si>
    <t>Приобретение песко-соляной смеси 0,017х4346,7</t>
  </si>
  <si>
    <t>Вывоз крупногабар. мусора 0,054х 4346,7 *1,058</t>
  </si>
  <si>
    <t>Сбор и вывоз ТБО( 339х1,5):12*90,3*1,058</t>
  </si>
  <si>
    <t>захоронение ТБО 339 чел.х1,5кубм/год  х 33,1руб.:12мес.*1,058    =</t>
  </si>
  <si>
    <t>электроэнергия 2391 кВт.х 2,48 руб. =</t>
  </si>
  <si>
    <t>дератизация 4346,7кв.м х  0,028 =</t>
  </si>
  <si>
    <t>дезинсекция 4346,7кв.м х 0,0027=</t>
  </si>
  <si>
    <t>аварийная служба 4346,7*0,216</t>
  </si>
  <si>
    <t>ТО ВДГО (внутридомового газового оборудования) 80*171/12/3</t>
  </si>
  <si>
    <t>озеленение придомовой террит. 4346,7 кв.м.х 0,027руб.=</t>
  </si>
  <si>
    <t>содерж.детско-спортивных площадок 4346,7 кв.м.х 0,022=</t>
  </si>
  <si>
    <t>Провед. мероприятий по противопож. безопасности 4346,7 *0,022</t>
  </si>
  <si>
    <t xml:space="preserve">Приобретение контейнеров 0,053х4346,7 </t>
  </si>
  <si>
    <t>Ремонт контейнеров 0,014х 4346,7</t>
  </si>
  <si>
    <t>техн.обслужив.4346,7*2,07</t>
  </si>
  <si>
    <t>1,36 ед.х24,48руб.х165,1час.х1,5х1,07(рез.отп.)   =</t>
  </si>
  <si>
    <t>Спецодежда,инструмент и инвентарь 0,04х4346,7</t>
  </si>
  <si>
    <t>Приобретение материалов 4346,7*0,97</t>
  </si>
  <si>
    <t>Приобретение моющих средств 4346,7 х0,0037</t>
  </si>
  <si>
    <t>ГСМ 4346,7 х0,082</t>
  </si>
  <si>
    <t>Эл.энергия сварочных аппаратов  4346,7 х0,023х1,107</t>
  </si>
  <si>
    <t>0,2227руб. Х 4346,7</t>
  </si>
  <si>
    <t>содержание мастерских 0,0257руб. х 4346,7</t>
  </si>
  <si>
    <t>услуги КВЦ 0,0945руб.х4346,7</t>
  </si>
  <si>
    <t>Расходы на управление домом 0,47руб.*4346,7</t>
  </si>
  <si>
    <t>Размер платы за содержание и ремонт жилого помещения в многоквартирном доме №12 корп.1 по          ул. Тимакова-11,65 руб./кв.м.</t>
  </si>
  <si>
    <t>Размер платы за содержание и ремонт жилого помещения в многоквартирном доме №14 по                            ул. Тимакова-11,91руб./кв.м.</t>
  </si>
  <si>
    <t>дворники 1ед. Х 2600руб.х1,75х1,07(рез.отп.)  =</t>
  </si>
  <si>
    <t>м/проводчики 0,5ед.х 2600руб.х1,5х1,07(рез.отп.)  =</t>
  </si>
  <si>
    <t>дворники  0,057х4294,3</t>
  </si>
  <si>
    <t>уборщицы 0,0085х4294,3</t>
  </si>
  <si>
    <t>м/проводчики 0,0018х4294,3</t>
  </si>
  <si>
    <t>Приобретение моющих средств 0,005х4294,3</t>
  </si>
  <si>
    <t>Приобретение песко-соляной смеси 0,017х4294,3</t>
  </si>
  <si>
    <t>Вывоз крупногабар. мусора 0,054х 4294,3х1,058</t>
  </si>
  <si>
    <t>1391-за 11 мес.</t>
  </si>
  <si>
    <t>Сбор и вывоз ТБО( 324х1,5):12*90,3х1,058</t>
  </si>
  <si>
    <t>захоронение ТБО 32 чел.х1,5кубм/год  х 33,1руб.:12мес. Х1,058  =</t>
  </si>
  <si>
    <t>электроэнергия 1450 кВт.х 2,48 руб.  =</t>
  </si>
  <si>
    <t>дератизация 4294,3кв.м х  0,028 =</t>
  </si>
  <si>
    <t>дезинсекция 4294,3кв.м х 0,0027=</t>
  </si>
  <si>
    <t>аварийная служба 4294,3*0,216</t>
  </si>
  <si>
    <t>ТО ВДГО (внутридомового газового оборудования) 80руб.*168/12/3</t>
  </si>
  <si>
    <t>колич.кв.</t>
  </si>
  <si>
    <t>озеленение придомовой террит. 4294,3 кв.м.х 0,027руб.=</t>
  </si>
  <si>
    <t>содерж.детско-спортивных площадок 4294,3кв.м.х 0,022руб.=</t>
  </si>
  <si>
    <t>Провед. мероприятий по противопож. безопасности 0,022х4294,3</t>
  </si>
  <si>
    <t>Приобретение контейнеров 0,053х4294,3</t>
  </si>
  <si>
    <t>Ремонт контейнеров 0,014х 4294,3</t>
  </si>
  <si>
    <t>техн.обслужив.4294,3*2,07</t>
  </si>
  <si>
    <t>1,35 ед.х24,48руб.х165,1час.х1,5х1,07(рез.отп.)   =</t>
  </si>
  <si>
    <t>Приобретение моющих средств 4294,3х0,0037</t>
  </si>
  <si>
    <t>ГСМ 4294,3х0,082</t>
  </si>
  <si>
    <t>Эл.энергия сварочных аппаратов  4294,3х0,023х1,107</t>
  </si>
  <si>
    <t>0,2227руб. Х 4294,3</t>
  </si>
  <si>
    <t>содержание мастерских 0,0257руб. х 4294,3</t>
  </si>
  <si>
    <t>услуги КВЦ 0,0945руб.х4294,3</t>
  </si>
  <si>
    <t>Расходы на управление домом 0,48руб.*4294,3</t>
  </si>
  <si>
    <t>Размер платы за содержание и ремонт жилого помещения в многоквартирном доме №1 по                                  ул. Тимуровцев-9,49 руб./кв.м.</t>
  </si>
  <si>
    <t xml:space="preserve">дворники 5760,6 х0,057руб. = </t>
  </si>
  <si>
    <t>уборщицы 5760,6 х0,0085 =</t>
  </si>
  <si>
    <t>Приобретение моющих средств 0,005х 5760,6</t>
  </si>
  <si>
    <t>Приобретение песко-соляной смеси 0,017х5760,6</t>
  </si>
  <si>
    <t>захоронение ТБО 300чел.х1,5кубм/год  х 33,1руб.:12мес. Х1,058  =</t>
  </si>
  <si>
    <t>электроэнергия 1350 кВт.х 2,48 руб. =</t>
  </si>
  <si>
    <t>дератизация 5760,6 кв.м х  0,028  =</t>
  </si>
  <si>
    <t>дезинсекция 5760,6кв.м х 0,0027=</t>
  </si>
  <si>
    <t>ТО ВДГО (внутридомового газового оборудования) 0,11х 5760,6кв.м</t>
  </si>
  <si>
    <t>озеленение придомовой террит. 5760,6кв.м.х 0,027руб.=</t>
  </si>
  <si>
    <t>содерж.детско-спортивных площадок 5760,6 кв.м.х 0,022 руб.=</t>
  </si>
  <si>
    <t>Провед. мероприятий по противопож. безопасности 0,022х 5760,6</t>
  </si>
  <si>
    <t>Приобретение контейнеров 0,053х5760,6 кв.м.</t>
  </si>
  <si>
    <t>Ремонт контейнеров  5760,6 х0,014 руб.</t>
  </si>
  <si>
    <t>Приобретение моющих средств 5760,6 кв.м.х0,0037руб.</t>
  </si>
  <si>
    <t>ГСМ 5760,6 кв.м.х0,082руб.</t>
  </si>
  <si>
    <t>Эл.энергия сварочных аппаратов 5760,6 кв.м.х0,023руб.х1,229</t>
  </si>
  <si>
    <t>0,2227руб. Х 5760,6</t>
  </si>
  <si>
    <t>содержание мастерских 0,0257руб. х 5760,6</t>
  </si>
  <si>
    <t>услуги КВЦ 0,0945руб.х 5760,6</t>
  </si>
  <si>
    <t>Расходы на управление домом 0,38руб.*5760,6</t>
  </si>
  <si>
    <t>Размер платы за содержание и ремонт жилого помещения в многоквартирном доме №2 по                                 ул. Тимуровцев-9,49 руб./кв.м.</t>
  </si>
  <si>
    <t xml:space="preserve">дворники 5725 кв.м.х 0,057 = </t>
  </si>
  <si>
    <t>уборщицы 5725 кв.м.х 0,0085 =</t>
  </si>
  <si>
    <t>Приобретение моющих средств 0,005х5725</t>
  </si>
  <si>
    <t>Приобретение песко-соляной смеси 0,017х5725</t>
  </si>
  <si>
    <t>Сбор и вывоз ТБО( 248х1,5):12*90,3*1,058</t>
  </si>
  <si>
    <t>захоронение ТБО 248чел.х1,5кубм/год  х 33,1руб.:12мес.х1,058    =</t>
  </si>
  <si>
    <t>электроэнергия 1260 кВт.х 2,48 руб.=</t>
  </si>
  <si>
    <t>дератизация 5725 кв.м х  0,028  =</t>
  </si>
  <si>
    <t>дезинсекция 5725 кв.м х 0,0027=</t>
  </si>
  <si>
    <t>озеленение придомовой террит. 5725 кв.м.х 0,027руб.=</t>
  </si>
  <si>
    <t>содерж.детско-спортивных площадок 5725кв.м.х 0,022=</t>
  </si>
  <si>
    <t>Провед. мероприятий по противопож. безопасности 0,022х5725</t>
  </si>
  <si>
    <t>Приобретение контейнеров 0,053х5725</t>
  </si>
  <si>
    <t>Ремонт контейнеров 0,014х 5725</t>
  </si>
  <si>
    <t>1,58ед.х24,48руб.х165,1час.х1,5х1,07(рез.отп.)   =</t>
  </si>
  <si>
    <t>Приобретение моющих средств 5725 х0,0037</t>
  </si>
  <si>
    <t>ГСМ 5725 х0,082</t>
  </si>
  <si>
    <t>Эл.энергия сварочных аппаратов  5725 х0,023х1,109</t>
  </si>
  <si>
    <t xml:space="preserve">0,2227руб. Х 5725 </t>
  </si>
  <si>
    <t>содержание мастерских 0,0257руб. х 5725</t>
  </si>
  <si>
    <t>услуги КВЦ 0,0945руб.х 5725</t>
  </si>
  <si>
    <t>Расходы на управление домом 0,38руб.* 5725</t>
  </si>
  <si>
    <t>Размер платы за содержание и ремонт жилого помещения в многоквартирном доме №3 по                            ул. Тимуровцев-9,49 руб./кв.м.</t>
  </si>
  <si>
    <t>Уборщицы  0,68х2203х1,3х1,75х1,07(рез.отп.)</t>
  </si>
  <si>
    <t xml:space="preserve">дворники 5741 х0,057руб. = </t>
  </si>
  <si>
    <t>уборщицы 5741 х0,0085 =</t>
  </si>
  <si>
    <t>Приобретение моющих средств 0,005х 5741</t>
  </si>
  <si>
    <t>Приобретение песко-соляной смеси 0,017х5741</t>
  </si>
  <si>
    <t>Сбор и вывоз ТБО( 279х1,5):12*90,3х1,058</t>
  </si>
  <si>
    <t>захоронение ТБО 279чел.х1,5кубм/год  х 33,1руб.:12мес. Х1,058  =</t>
  </si>
  <si>
    <t>электроэнергия 1468 кВт.х 2,48 руб.  =</t>
  </si>
  <si>
    <t>дератизация 5741 кв.м х  0,028  =</t>
  </si>
  <si>
    <t>дезинсекция 5741кв.м х 0,0027=</t>
  </si>
  <si>
    <t>Аварийно-рем. работы 5741 х0,216 руб.</t>
  </si>
  <si>
    <t>озеленение придомовой террит. 5741кв.м.х 0,027руб.=</t>
  </si>
  <si>
    <t>содерж.детско-спортивных площадок 5741 кв.м.х 0,022 руб.=</t>
  </si>
  <si>
    <t>Провед. мероприятий по противопож. безопасности 0,022х 5741</t>
  </si>
  <si>
    <t>Приобретение контейнеров 0,053х5741 кв.м.</t>
  </si>
  <si>
    <t>Ремонт контейнеров  5741 х0,014 руб.</t>
  </si>
  <si>
    <t>Приобретение моющих средств 5741 кв.м.х0,0037руб.</t>
  </si>
  <si>
    <t>ГСМ 5741 кв.м.х0,082руб.</t>
  </si>
  <si>
    <t>Эл.энергия сварочных аппаратов 5741 кв.м.х0,023руб.х1,107</t>
  </si>
  <si>
    <t>0,2227руб. Х 5741</t>
  </si>
  <si>
    <t>содержание мастерских 0,0257руб. х 5741</t>
  </si>
  <si>
    <t>услуги КВЦ 0,0945руб.х 5741</t>
  </si>
  <si>
    <t>Расходы на управление домом 0,38руб.*5741</t>
  </si>
  <si>
    <t>собственников помещений в многоквартирном доме №5 по ул. Тимуровцев - 9,49 руб./кв.м</t>
  </si>
  <si>
    <t>дворники 1,06 ед. Х 2600руб.х1,75х1,07(рез.отп.)  =</t>
  </si>
  <si>
    <t xml:space="preserve">дворники 5710,8 х0,057руб. = </t>
  </si>
  <si>
    <t>уборщицы 5710,8 х0,0085 =</t>
  </si>
  <si>
    <t>Приобретение моющих средств 0,005х 5710,8</t>
  </si>
  <si>
    <t>Приобретение песко-соляной смеси 0,017х5710,8</t>
  </si>
  <si>
    <t>Сбор и вывоз ТБО( 289х1,5):12*90,3х1,058</t>
  </si>
  <si>
    <t>захоронение ТБО 289чел.х1,5кубм/год  х 33,1руб.:12мес. Х1,058  =</t>
  </si>
  <si>
    <t>электроэнергия 620кВт.х 2,24 руб. х1,229 =</t>
  </si>
  <si>
    <t>дератизация 5710,8 кв.м х  0,028  =</t>
  </si>
  <si>
    <t>дезинсекция 5710,8кв.м х 0,0027=</t>
  </si>
  <si>
    <t>ТО ВДГО (внутридомового газового оборудования) 0,11х 5710,8кв.м</t>
  </si>
  <si>
    <t>Аварийно-рем. работы 5710,8 х0,216 руб.</t>
  </si>
  <si>
    <t>озеленение придомовой террит. 5710,8кв.м.х 0,027руб.=</t>
  </si>
  <si>
    <t>содерж.детско-спортивных площадок 5710,8 кв.м.х 0,022 руб.=</t>
  </si>
  <si>
    <t>Провед. мероприятий по противопож. безопасности 0,022х 5710,8</t>
  </si>
  <si>
    <t>Приобретение контейнеров 0,053х5710,8 кв.м.</t>
  </si>
  <si>
    <t>Ремонт контейнеров  5710,8 х0,014 руб.</t>
  </si>
  <si>
    <t>1,62ед.х24,48руб.х165,6час.х1,5х1,07(рез.отп.)   =</t>
  </si>
  <si>
    <t>Приобретение моющих средств 5710,8 кв.м.х0,0037руб.</t>
  </si>
  <si>
    <t>ГСМ 5710,8 кв.м.х0,082руб.</t>
  </si>
  <si>
    <t>Эл.энергия сварочных аппаратов 5710,8 кв.м.х0,023руб.х1,229</t>
  </si>
  <si>
    <t>0,2227руб. Х 5710,8</t>
  </si>
  <si>
    <t>содержание мастерских 0,0257руб. х 5710,8</t>
  </si>
  <si>
    <t>услуги КВЦ 0,0945руб.х 5710,8</t>
  </si>
  <si>
    <t>Расходы на управление домом 0,38руб.*8169</t>
  </si>
  <si>
    <t>Размер платы за содержание и ремонт жилого помещения в многоквартирном доме №6 по                              ул. Тимуровцев-9,49 руб./кв.м.</t>
  </si>
  <si>
    <t>дворники 0,74 ед. Х 2600руб.х1,75х1,07(рез.отп.)  =</t>
  </si>
  <si>
    <t>Уборщицы  0,0,51х2203х1,3х1,75х1,07(рез.отп.)</t>
  </si>
  <si>
    <t xml:space="preserve">дворники 4354,4 х0,057руб. = </t>
  </si>
  <si>
    <t>уборщицы 4354,4 х0,0085 =</t>
  </si>
  <si>
    <t>Приобретение моющих средств 0,005х 4354,4</t>
  </si>
  <si>
    <t>Приобретение песко-соляной смеси 0,017х4354,4</t>
  </si>
  <si>
    <t>Сбор и вывоз ТБО( 242х1,5):12*90,3х1,058</t>
  </si>
  <si>
    <t>захоронение ТБО 242чел.х1,5кубм/год  х 33,1руб.:12мес. Х1,058  =</t>
  </si>
  <si>
    <t>электроэнергия 764 кВт.х 2,48 руб. =</t>
  </si>
  <si>
    <t>дератизация 4354,4 кв.м х  0,028  =</t>
  </si>
  <si>
    <t>дезинсекция 4354,4кв.м х 0,0027=</t>
  </si>
  <si>
    <t>прочистка вентканалов 36 шт.х 4,81руб.:12мес.=</t>
  </si>
  <si>
    <t>ТО ВДГО (внутридомового газового оборудования) 90 кв.х90/12/3</t>
  </si>
  <si>
    <t>Аварийно-рем. работы 4354,4 х0,216 руб.</t>
  </si>
  <si>
    <t>озеленение придомовой террит. 4354,4кв.м.х 0,027руб.=</t>
  </si>
  <si>
    <t>содерж.детско-спортивных площадок 4354,4 кв.м.х 0,022 руб.=</t>
  </si>
  <si>
    <t>Провед. мероприятий по противопож. безопасности 0,022х 4354,4</t>
  </si>
  <si>
    <t>Приобретение контейнеров 0,053х4354,4 кв.м.</t>
  </si>
  <si>
    <t>Ремонт контейнеров  4354,4 х0,014 руб.</t>
  </si>
  <si>
    <t>1,2ед.х24,48руб.х165,6час.х1,5х1,07(рез.отп.)   =</t>
  </si>
  <si>
    <t>0,2227руб. Х 4354,4</t>
  </si>
  <si>
    <t>содержание мастерских 0,0257руб. х 4354,4</t>
  </si>
  <si>
    <t>услуги КВЦ 0,0945руб.х 4354,4</t>
  </si>
  <si>
    <t>Расходы на управление домом 0,38руб.*4354,4</t>
  </si>
  <si>
    <t xml:space="preserve">общего имущества в многоквартирном доме на 2010 год </t>
  </si>
  <si>
    <t>Размер платы за содержание и ремонт жилого помещения в многоквартирном доме №38 по Касимовскому шоссе - 11,91 руб./кв.м.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</si>
</sst>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b/>
      <u val="single"/>
      <sz val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2"/>
    </font>
    <font>
      <sz val="11"/>
      <color indexed="9"/>
      <name val="Arial Cyr"/>
      <family val="2"/>
    </font>
    <font>
      <b/>
      <u val="single"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2"/>
    </font>
    <font>
      <b/>
      <u val="single"/>
      <sz val="10"/>
      <color indexed="9"/>
      <name val="Arial Cyr"/>
      <family val="2"/>
    </font>
    <font>
      <b/>
      <u val="single"/>
      <sz val="11"/>
      <color indexed="9"/>
      <name val="Arial Cyr"/>
      <family val="2"/>
    </font>
    <font>
      <b/>
      <sz val="12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  <font>
      <b/>
      <sz val="11"/>
      <color theme="0"/>
      <name val="Arial Cyr"/>
      <family val="2"/>
    </font>
    <font>
      <sz val="11"/>
      <color theme="0"/>
      <name val="Arial Cyr"/>
      <family val="2"/>
    </font>
    <font>
      <b/>
      <u val="single"/>
      <sz val="12"/>
      <color theme="0"/>
      <name val="Arial Cyr"/>
      <family val="2"/>
    </font>
    <font>
      <sz val="8"/>
      <color theme="0"/>
      <name val="Arial Cyr"/>
      <family val="2"/>
    </font>
    <font>
      <b/>
      <sz val="10"/>
      <color theme="0"/>
      <name val="Arial Cyr"/>
      <family val="2"/>
    </font>
    <font>
      <b/>
      <u val="single"/>
      <sz val="10"/>
      <color theme="0"/>
      <name val="Arial Cyr"/>
      <family val="2"/>
    </font>
    <font>
      <b/>
      <u val="single"/>
      <sz val="11"/>
      <color theme="0"/>
      <name val="Arial Cyr"/>
      <family val="2"/>
    </font>
    <font>
      <b/>
      <sz val="12"/>
      <color theme="0"/>
      <name val="Arial Cyr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6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180" fontId="3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0" fontId="7" fillId="0" borderId="11" xfId="52" applyFont="1" applyBorder="1">
      <alignment/>
      <protection/>
    </xf>
    <xf numFmtId="2" fontId="7" fillId="0" borderId="11" xfId="52" applyNumberFormat="1" applyFont="1" applyBorder="1">
      <alignment/>
      <protection/>
    </xf>
    <xf numFmtId="2" fontId="7" fillId="0" borderId="0" xfId="52" applyNumberFormat="1" applyFont="1">
      <alignment/>
      <protection/>
    </xf>
    <xf numFmtId="9" fontId="7" fillId="0" borderId="0" xfId="52" applyNumberFormat="1" applyFont="1">
      <alignment/>
      <protection/>
    </xf>
    <xf numFmtId="0" fontId="7" fillId="0" borderId="11" xfId="52" applyFont="1" applyFill="1" applyBorder="1">
      <alignment/>
      <protection/>
    </xf>
    <xf numFmtId="2" fontId="7" fillId="0" borderId="11" xfId="52" applyNumberFormat="1" applyFont="1" applyFill="1" applyBorder="1">
      <alignment/>
      <protection/>
    </xf>
    <xf numFmtId="0" fontId="2" fillId="0" borderId="0" xfId="52" applyFont="1" applyFill="1">
      <alignment/>
      <protection/>
    </xf>
    <xf numFmtId="2" fontId="2" fillId="0" borderId="0" xfId="52" applyNumberFormat="1" applyFont="1" applyFill="1">
      <alignment/>
      <protection/>
    </xf>
    <xf numFmtId="0" fontId="2" fillId="0" borderId="0" xfId="52" applyFont="1" applyFill="1" applyAlignment="1">
      <alignment horizontal="left"/>
      <protection/>
    </xf>
    <xf numFmtId="0" fontId="8" fillId="0" borderId="0" xfId="52" applyFont="1">
      <alignment/>
      <protection/>
    </xf>
    <xf numFmtId="0" fontId="7" fillId="0" borderId="11" xfId="52" applyFont="1" applyFill="1" applyBorder="1" applyAlignment="1">
      <alignment horizontal="left"/>
      <protection/>
    </xf>
    <xf numFmtId="2" fontId="7" fillId="0" borderId="11" xfId="52" applyNumberFormat="1" applyFont="1" applyFill="1" applyBorder="1" applyAlignment="1">
      <alignment horizontal="right"/>
      <protection/>
    </xf>
    <xf numFmtId="2" fontId="2" fillId="0" borderId="0" xfId="52" applyNumberFormat="1" applyFont="1" applyFill="1" applyAlignment="1">
      <alignment horizontal="right"/>
      <protection/>
    </xf>
    <xf numFmtId="2" fontId="9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left"/>
      <protection/>
    </xf>
    <xf numFmtId="2" fontId="2" fillId="0" borderId="0" xfId="52" applyNumberFormat="1" applyFont="1" applyFill="1" applyBorder="1" applyAlignment="1">
      <alignment horizontal="right"/>
      <protection/>
    </xf>
    <xf numFmtId="0" fontId="10" fillId="0" borderId="0" xfId="52" applyFont="1" applyFill="1">
      <alignment/>
      <protection/>
    </xf>
    <xf numFmtId="0" fontId="10" fillId="0" borderId="0" xfId="52" applyFont="1" applyFill="1" applyBorder="1">
      <alignment/>
      <protection/>
    </xf>
    <xf numFmtId="2" fontId="10" fillId="0" borderId="0" xfId="52" applyNumberFormat="1" applyFont="1" applyFill="1" applyBorder="1" applyAlignment="1">
      <alignment horizontal="right"/>
      <protection/>
    </xf>
    <xf numFmtId="2" fontId="9" fillId="0" borderId="0" xfId="52" applyNumberFormat="1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2" fontId="2" fillId="0" borderId="0" xfId="52" applyNumberFormat="1" applyFont="1" applyFill="1" applyBorder="1" applyAlignment="1">
      <alignment horizontal="right"/>
      <protection/>
    </xf>
    <xf numFmtId="0" fontId="2" fillId="0" borderId="0" xfId="52" applyFont="1" applyFill="1" applyBorder="1">
      <alignment/>
      <protection/>
    </xf>
    <xf numFmtId="2" fontId="2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/>
      <protection/>
    </xf>
    <xf numFmtId="0" fontId="11" fillId="0" borderId="11" xfId="52" applyFont="1" applyFill="1" applyBorder="1">
      <alignment/>
      <protection/>
    </xf>
    <xf numFmtId="2" fontId="2" fillId="0" borderId="0" xfId="52" applyNumberFormat="1" applyFont="1" applyFill="1" applyBorder="1" applyAlignment="1">
      <alignment horizontal="left"/>
      <protection/>
    </xf>
    <xf numFmtId="0" fontId="2" fillId="0" borderId="0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2" fontId="10" fillId="0" borderId="11" xfId="52" applyNumberFormat="1" applyFont="1" applyFill="1" applyBorder="1" applyAlignment="1">
      <alignment horizontal="right"/>
      <protection/>
    </xf>
    <xf numFmtId="0" fontId="5" fillId="0" borderId="0" xfId="52" applyFont="1" applyFill="1">
      <alignment/>
      <protection/>
    </xf>
    <xf numFmtId="2" fontId="5" fillId="0" borderId="0" xfId="52" applyNumberFormat="1" applyFont="1" applyFill="1" applyAlignment="1">
      <alignment horizontal="right"/>
      <protection/>
    </xf>
    <xf numFmtId="2" fontId="7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11" xfId="52" applyFont="1" applyFill="1" applyBorder="1">
      <alignment/>
      <protection/>
    </xf>
    <xf numFmtId="2" fontId="5" fillId="0" borderId="11" xfId="52" applyNumberFormat="1" applyFont="1" applyFill="1" applyBorder="1" applyAlignment="1">
      <alignment horizontal="right"/>
      <protection/>
    </xf>
    <xf numFmtId="0" fontId="5" fillId="0" borderId="0" xfId="52" applyFont="1" applyFill="1" applyBorder="1">
      <alignment/>
      <protection/>
    </xf>
    <xf numFmtId="0" fontId="7" fillId="0" borderId="0" xfId="52" applyFont="1" applyFill="1" applyBorder="1">
      <alignment/>
      <protection/>
    </xf>
    <xf numFmtId="2" fontId="5" fillId="0" borderId="0" xfId="52" applyNumberFormat="1" applyFont="1" applyFill="1" applyBorder="1" applyAlignment="1">
      <alignment horizontal="right"/>
      <protection/>
    </xf>
    <xf numFmtId="2" fontId="7" fillId="0" borderId="0" xfId="52" applyNumberFormat="1" applyFont="1" applyFill="1" applyBorder="1">
      <alignment/>
      <protection/>
    </xf>
    <xf numFmtId="0" fontId="5" fillId="0" borderId="0" xfId="52" applyFont="1" applyFill="1" applyAlignment="1">
      <alignment horizontal="left"/>
      <protection/>
    </xf>
    <xf numFmtId="0" fontId="11" fillId="0" borderId="0" xfId="52" applyFont="1" applyFill="1">
      <alignment/>
      <protection/>
    </xf>
    <xf numFmtId="2" fontId="11" fillId="0" borderId="0" xfId="52" applyNumberFormat="1" applyFont="1" applyFill="1" applyAlignment="1">
      <alignment horizontal="right"/>
      <protection/>
    </xf>
    <xf numFmtId="2" fontId="7" fillId="0" borderId="0" xfId="52" applyNumberFormat="1" applyFont="1" applyFill="1">
      <alignment/>
      <protection/>
    </xf>
    <xf numFmtId="0" fontId="11" fillId="0" borderId="0" xfId="52" applyFont="1" applyFill="1" applyAlignment="1">
      <alignment horizontal="left"/>
      <protection/>
    </xf>
    <xf numFmtId="2" fontId="11" fillId="0" borderId="0" xfId="52" applyNumberFormat="1" applyFont="1" applyFill="1" applyAlignment="1">
      <alignment horizontal="left"/>
      <protection/>
    </xf>
    <xf numFmtId="0" fontId="5" fillId="0" borderId="0" xfId="52" applyFont="1" applyFill="1">
      <alignment/>
      <protection/>
    </xf>
    <xf numFmtId="2" fontId="5" fillId="0" borderId="0" xfId="52" applyNumberFormat="1" applyFont="1" applyFill="1">
      <alignment/>
      <protection/>
    </xf>
    <xf numFmtId="0" fontId="57" fillId="0" borderId="0" xfId="52" applyFont="1" applyFill="1">
      <alignment/>
      <protection/>
    </xf>
    <xf numFmtId="0" fontId="58" fillId="0" borderId="0" xfId="52" applyFont="1" applyFill="1" applyAlignment="1">
      <alignment horizontal="left"/>
      <protection/>
    </xf>
    <xf numFmtId="0" fontId="59" fillId="0" borderId="0" xfId="52" applyFont="1" applyFill="1">
      <alignment/>
      <protection/>
    </xf>
    <xf numFmtId="2" fontId="60" fillId="0" borderId="0" xfId="52" applyNumberFormat="1" applyFont="1" applyFill="1">
      <alignment/>
      <protection/>
    </xf>
    <xf numFmtId="2" fontId="57" fillId="0" borderId="0" xfId="52" applyNumberFormat="1" applyFont="1" applyFill="1">
      <alignment/>
      <protection/>
    </xf>
    <xf numFmtId="0" fontId="61" fillId="0" borderId="0" xfId="52" applyFont="1" applyFill="1">
      <alignment/>
      <protection/>
    </xf>
    <xf numFmtId="0" fontId="62" fillId="0" borderId="0" xfId="52" applyFont="1" applyFill="1">
      <alignment/>
      <protection/>
    </xf>
    <xf numFmtId="2" fontId="62" fillId="0" borderId="0" xfId="52" applyNumberFormat="1" applyFont="1" applyFill="1">
      <alignment/>
      <protection/>
    </xf>
    <xf numFmtId="17" fontId="57" fillId="0" borderId="0" xfId="52" applyNumberFormat="1" applyFont="1" applyFill="1">
      <alignment/>
      <protection/>
    </xf>
    <xf numFmtId="0" fontId="60" fillId="0" borderId="0" xfId="52" applyFont="1" applyFill="1" applyAlignment="1">
      <alignment horizontal="left"/>
      <protection/>
    </xf>
    <xf numFmtId="0" fontId="63" fillId="0" borderId="0" xfId="52" applyFont="1" applyFill="1" applyAlignment="1">
      <alignment horizontal="left"/>
      <protection/>
    </xf>
    <xf numFmtId="180" fontId="64" fillId="0" borderId="0" xfId="52" applyNumberFormat="1" applyFont="1" applyFill="1">
      <alignment/>
      <protection/>
    </xf>
    <xf numFmtId="0" fontId="64" fillId="0" borderId="0" xfId="52" applyFont="1" applyFill="1">
      <alignment/>
      <protection/>
    </xf>
    <xf numFmtId="180" fontId="57" fillId="0" borderId="0" xfId="52" applyNumberFormat="1" applyFont="1" applyFill="1">
      <alignment/>
      <protection/>
    </xf>
    <xf numFmtId="0" fontId="57" fillId="0" borderId="0" xfId="52" applyFont="1" applyFill="1" applyBorder="1">
      <alignment/>
      <protection/>
    </xf>
    <xf numFmtId="0" fontId="60" fillId="0" borderId="0" xfId="52" applyFont="1" applyFill="1" applyBorder="1">
      <alignment/>
      <protection/>
    </xf>
    <xf numFmtId="180" fontId="57" fillId="0" borderId="0" xfId="52" applyNumberFormat="1" applyFont="1" applyFill="1" applyBorder="1" applyAlignment="1">
      <alignment horizontal="right"/>
      <protection/>
    </xf>
    <xf numFmtId="180" fontId="57" fillId="0" borderId="0" xfId="52" applyNumberFormat="1" applyFont="1" applyFill="1" applyBorder="1">
      <alignment/>
      <protection/>
    </xf>
    <xf numFmtId="0" fontId="60" fillId="0" borderId="0" xfId="52" applyFont="1" applyFill="1" applyBorder="1" applyAlignment="1">
      <alignment horizontal="left"/>
      <protection/>
    </xf>
    <xf numFmtId="0" fontId="65" fillId="0" borderId="0" xfId="52" applyFont="1" applyFill="1" applyBorder="1">
      <alignment/>
      <protection/>
    </xf>
    <xf numFmtId="0" fontId="3" fillId="0" borderId="0" xfId="52" applyFont="1" applyAlignment="1">
      <alignment horizontal="center"/>
      <protection/>
    </xf>
    <xf numFmtId="0" fontId="7" fillId="0" borderId="11" xfId="52" applyFont="1" applyFill="1" applyBorder="1" applyAlignment="1">
      <alignment horizontal="left"/>
      <protection/>
    </xf>
    <xf numFmtId="2" fontId="7" fillId="0" borderId="11" xfId="52" applyNumberFormat="1" applyFont="1" applyFill="1" applyBorder="1" applyAlignment="1">
      <alignment horizontal="right"/>
      <protection/>
    </xf>
    <xf numFmtId="0" fontId="7" fillId="0" borderId="11" xfId="52" applyFont="1" applyFill="1" applyBorder="1">
      <alignment/>
      <protection/>
    </xf>
    <xf numFmtId="2" fontId="7" fillId="0" borderId="11" xfId="52" applyNumberFormat="1" applyFont="1" applyFill="1" applyBorder="1">
      <alignment/>
      <protection/>
    </xf>
    <xf numFmtId="0" fontId="2" fillId="0" borderId="0" xfId="52" applyFont="1" applyFill="1" applyBorder="1" applyAlignment="1">
      <alignment/>
      <protection/>
    </xf>
    <xf numFmtId="2" fontId="2" fillId="0" borderId="0" xfId="52" applyNumberFormat="1" applyFont="1" applyFill="1" applyBorder="1">
      <alignment/>
      <protection/>
    </xf>
    <xf numFmtId="2" fontId="59" fillId="0" borderId="0" xfId="52" applyNumberFormat="1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0" fillId="0" borderId="0" xfId="52" applyFont="1" applyFill="1" applyBorder="1" applyAlignment="1">
      <alignment horizontal="left"/>
      <protection/>
    </xf>
    <xf numFmtId="0" fontId="60" fillId="0" borderId="0" xfId="52" applyFont="1" applyFill="1" applyAlignment="1">
      <alignment horizontal="left"/>
      <protection/>
    </xf>
    <xf numFmtId="0" fontId="63" fillId="0" borderId="0" xfId="52" applyFont="1" applyFill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0" fontId="7" fillId="0" borderId="11" xfId="52" applyFont="1" applyBorder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4" fillId="0" borderId="0" xfId="52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horizontal="left"/>
      <protection/>
    </xf>
    <xf numFmtId="2" fontId="4" fillId="0" borderId="0" xfId="52" applyNumberFormat="1" applyFont="1" applyFill="1" applyBorder="1" applyAlignment="1">
      <alignment horizontal="right"/>
      <protection/>
    </xf>
    <xf numFmtId="2" fontId="10" fillId="0" borderId="0" xfId="52" applyNumberFormat="1" applyFont="1" applyFill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 horizontal="left"/>
      <protection/>
    </xf>
    <xf numFmtId="0" fontId="0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11" fillId="0" borderId="0" xfId="52" applyFont="1" applyFill="1" applyBorder="1">
      <alignment/>
      <protection/>
    </xf>
    <xf numFmtId="2" fontId="7" fillId="0" borderId="0" xfId="52" applyNumberFormat="1" applyFont="1" applyFill="1" applyBorder="1" applyAlignment="1">
      <alignment horizontal="right"/>
      <protection/>
    </xf>
    <xf numFmtId="0" fontId="2" fillId="0" borderId="0" xfId="52" applyFont="1">
      <alignment/>
      <protection/>
    </xf>
    <xf numFmtId="16" fontId="57" fillId="0" borderId="0" xfId="52" applyNumberFormat="1" applyFont="1" applyFill="1">
      <alignment/>
      <protection/>
    </xf>
    <xf numFmtId="0" fontId="59" fillId="0" borderId="0" xfId="52" applyFont="1" applyFill="1" applyBorder="1">
      <alignment/>
      <protection/>
    </xf>
    <xf numFmtId="2" fontId="60" fillId="0" borderId="0" xfId="52" applyNumberFormat="1" applyFont="1" applyFill="1" applyBorder="1">
      <alignment/>
      <protection/>
    </xf>
    <xf numFmtId="2" fontId="57" fillId="0" borderId="0" xfId="52" applyNumberFormat="1" applyFont="1" applyFill="1" applyBorder="1">
      <alignment/>
      <protection/>
    </xf>
    <xf numFmtId="0" fontId="61" fillId="0" borderId="0" xfId="52" applyFont="1" applyFill="1" applyBorder="1">
      <alignment/>
      <protection/>
    </xf>
    <xf numFmtId="0" fontId="62" fillId="0" borderId="0" xfId="52" applyFont="1" applyFill="1" applyBorder="1">
      <alignment/>
      <protection/>
    </xf>
    <xf numFmtId="2" fontId="62" fillId="0" borderId="0" xfId="52" applyNumberFormat="1" applyFont="1" applyFill="1" applyBorder="1">
      <alignment/>
      <protection/>
    </xf>
    <xf numFmtId="17" fontId="57" fillId="0" borderId="0" xfId="52" applyNumberFormat="1" applyFont="1" applyFill="1" applyBorder="1">
      <alignment/>
      <protection/>
    </xf>
    <xf numFmtId="0" fontId="6" fillId="0" borderId="0" xfId="52" applyFont="1" applyAlignment="1">
      <alignment horizontal="center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2"/>
  <sheetViews>
    <sheetView tabSelected="1" zoomScalePageLayoutView="0" workbookViewId="0" topLeftCell="A1">
      <selection activeCell="B50" sqref="B50:I51"/>
    </sheetView>
  </sheetViews>
  <sheetFormatPr defaultColWidth="9.140625" defaultRowHeight="12.75"/>
  <cols>
    <col min="9" max="9" width="5.8515625" style="0" customWidth="1"/>
    <col min="10" max="10" width="12.57421875" style="0" customWidth="1"/>
  </cols>
  <sheetData>
    <row r="1" spans="1:10" ht="12.75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7</v>
      </c>
      <c r="B3" s="102" t="s">
        <v>8</v>
      </c>
      <c r="C3" s="103"/>
      <c r="D3" s="103"/>
      <c r="E3" s="103"/>
      <c r="F3" s="103"/>
      <c r="G3" s="103"/>
      <c r="H3" s="103"/>
      <c r="I3" s="104"/>
      <c r="J3" s="2" t="s">
        <v>9</v>
      </c>
    </row>
    <row r="4" spans="1:10" ht="12.75">
      <c r="A4" s="93">
        <v>1</v>
      </c>
      <c r="B4" s="95" t="s">
        <v>39</v>
      </c>
      <c r="C4" s="96"/>
      <c r="D4" s="96"/>
      <c r="E4" s="96"/>
      <c r="F4" s="96"/>
      <c r="G4" s="96"/>
      <c r="H4" s="96"/>
      <c r="I4" s="97"/>
      <c r="J4" s="93" t="s">
        <v>10</v>
      </c>
    </row>
    <row r="5" spans="1:10" ht="12.75">
      <c r="A5" s="94"/>
      <c r="B5" s="98"/>
      <c r="C5" s="99"/>
      <c r="D5" s="99"/>
      <c r="E5" s="99"/>
      <c r="F5" s="99"/>
      <c r="G5" s="99"/>
      <c r="H5" s="99"/>
      <c r="I5" s="100"/>
      <c r="J5" s="94"/>
    </row>
    <row r="6" spans="1:10" ht="12.75">
      <c r="A6" s="93">
        <v>2</v>
      </c>
      <c r="B6" s="95" t="s">
        <v>40</v>
      </c>
      <c r="C6" s="96"/>
      <c r="D6" s="96"/>
      <c r="E6" s="96"/>
      <c r="F6" s="96"/>
      <c r="G6" s="96"/>
      <c r="H6" s="96"/>
      <c r="I6" s="97"/>
      <c r="J6" s="93" t="s">
        <v>11</v>
      </c>
    </row>
    <row r="7" spans="1:10" ht="12.75">
      <c r="A7" s="94"/>
      <c r="B7" s="98"/>
      <c r="C7" s="99"/>
      <c r="D7" s="99"/>
      <c r="E7" s="99"/>
      <c r="F7" s="99"/>
      <c r="G7" s="99"/>
      <c r="H7" s="99"/>
      <c r="I7" s="100"/>
      <c r="J7" s="94"/>
    </row>
    <row r="8" spans="1:10" ht="12.75">
      <c r="A8" s="93">
        <v>3</v>
      </c>
      <c r="B8" s="95" t="s">
        <v>41</v>
      </c>
      <c r="C8" s="96"/>
      <c r="D8" s="96"/>
      <c r="E8" s="96"/>
      <c r="F8" s="96"/>
      <c r="G8" s="96"/>
      <c r="H8" s="96"/>
      <c r="I8" s="97"/>
      <c r="J8" s="93" t="s">
        <v>12</v>
      </c>
    </row>
    <row r="9" spans="1:10" ht="12.75">
      <c r="A9" s="94"/>
      <c r="B9" s="98"/>
      <c r="C9" s="99"/>
      <c r="D9" s="99"/>
      <c r="E9" s="99"/>
      <c r="F9" s="99"/>
      <c r="G9" s="99"/>
      <c r="H9" s="99"/>
      <c r="I9" s="100"/>
      <c r="J9" s="94"/>
    </row>
    <row r="10" spans="1:10" ht="12.75">
      <c r="A10" s="93">
        <v>4</v>
      </c>
      <c r="B10" s="95" t="s">
        <v>42</v>
      </c>
      <c r="C10" s="96"/>
      <c r="D10" s="96"/>
      <c r="E10" s="96"/>
      <c r="F10" s="96"/>
      <c r="G10" s="96"/>
      <c r="H10" s="96"/>
      <c r="I10" s="97"/>
      <c r="J10" s="93" t="s">
        <v>13</v>
      </c>
    </row>
    <row r="11" spans="1:10" ht="12.75">
      <c r="A11" s="94"/>
      <c r="B11" s="98"/>
      <c r="C11" s="99"/>
      <c r="D11" s="99"/>
      <c r="E11" s="99"/>
      <c r="F11" s="99"/>
      <c r="G11" s="99"/>
      <c r="H11" s="99"/>
      <c r="I11" s="100"/>
      <c r="J11" s="94"/>
    </row>
    <row r="12" spans="1:10" ht="12.75">
      <c r="A12" s="93">
        <v>5</v>
      </c>
      <c r="B12" s="95" t="s">
        <v>43</v>
      </c>
      <c r="C12" s="96"/>
      <c r="D12" s="96"/>
      <c r="E12" s="96"/>
      <c r="F12" s="96"/>
      <c r="G12" s="96"/>
      <c r="H12" s="96"/>
      <c r="I12" s="97"/>
      <c r="J12" s="93" t="s">
        <v>14</v>
      </c>
    </row>
    <row r="13" spans="1:10" ht="12.75">
      <c r="A13" s="94"/>
      <c r="B13" s="98"/>
      <c r="C13" s="99"/>
      <c r="D13" s="99"/>
      <c r="E13" s="99"/>
      <c r="F13" s="99"/>
      <c r="G13" s="99"/>
      <c r="H13" s="99"/>
      <c r="I13" s="100"/>
      <c r="J13" s="94"/>
    </row>
    <row r="14" spans="1:10" ht="12.75">
      <c r="A14" s="93">
        <v>6</v>
      </c>
      <c r="B14" s="95" t="s">
        <v>0</v>
      </c>
      <c r="C14" s="96"/>
      <c r="D14" s="96"/>
      <c r="E14" s="96"/>
      <c r="F14" s="96"/>
      <c r="G14" s="96"/>
      <c r="H14" s="96"/>
      <c r="I14" s="97"/>
      <c r="J14" s="93" t="s">
        <v>15</v>
      </c>
    </row>
    <row r="15" spans="1:10" ht="12.75">
      <c r="A15" s="94"/>
      <c r="B15" s="98"/>
      <c r="C15" s="99"/>
      <c r="D15" s="99"/>
      <c r="E15" s="99"/>
      <c r="F15" s="99"/>
      <c r="G15" s="99"/>
      <c r="H15" s="99"/>
      <c r="I15" s="100"/>
      <c r="J15" s="94"/>
    </row>
    <row r="16" spans="1:10" ht="12.75">
      <c r="A16" s="93">
        <v>7</v>
      </c>
      <c r="B16" s="95" t="s">
        <v>44</v>
      </c>
      <c r="C16" s="96"/>
      <c r="D16" s="96"/>
      <c r="E16" s="96"/>
      <c r="F16" s="96"/>
      <c r="G16" s="96"/>
      <c r="H16" s="96"/>
      <c r="I16" s="97"/>
      <c r="J16" s="93" t="s">
        <v>16</v>
      </c>
    </row>
    <row r="17" spans="1:10" ht="12.75">
      <c r="A17" s="94"/>
      <c r="B17" s="98"/>
      <c r="C17" s="99"/>
      <c r="D17" s="99"/>
      <c r="E17" s="99"/>
      <c r="F17" s="99"/>
      <c r="G17" s="99"/>
      <c r="H17" s="99"/>
      <c r="I17" s="100"/>
      <c r="J17" s="94"/>
    </row>
    <row r="18" spans="1:10" ht="12.75">
      <c r="A18" s="93">
        <v>8</v>
      </c>
      <c r="B18" s="95" t="s">
        <v>45</v>
      </c>
      <c r="C18" s="96"/>
      <c r="D18" s="96"/>
      <c r="E18" s="96"/>
      <c r="F18" s="96"/>
      <c r="G18" s="96"/>
      <c r="H18" s="96"/>
      <c r="I18" s="97"/>
      <c r="J18" s="93" t="s">
        <v>17</v>
      </c>
    </row>
    <row r="19" spans="1:10" ht="12.75">
      <c r="A19" s="94"/>
      <c r="B19" s="98"/>
      <c r="C19" s="99"/>
      <c r="D19" s="99"/>
      <c r="E19" s="99"/>
      <c r="F19" s="99"/>
      <c r="G19" s="99"/>
      <c r="H19" s="99"/>
      <c r="I19" s="100"/>
      <c r="J19" s="94"/>
    </row>
    <row r="20" spans="1:10" ht="12.75">
      <c r="A20" s="93">
        <v>9</v>
      </c>
      <c r="B20" s="95" t="s">
        <v>46</v>
      </c>
      <c r="C20" s="96"/>
      <c r="D20" s="96"/>
      <c r="E20" s="96"/>
      <c r="F20" s="96"/>
      <c r="G20" s="96"/>
      <c r="H20" s="96"/>
      <c r="I20" s="97"/>
      <c r="J20" s="93" t="s">
        <v>18</v>
      </c>
    </row>
    <row r="21" spans="1:10" ht="12.75">
      <c r="A21" s="94"/>
      <c r="B21" s="98"/>
      <c r="C21" s="99"/>
      <c r="D21" s="99"/>
      <c r="E21" s="99"/>
      <c r="F21" s="99"/>
      <c r="G21" s="99"/>
      <c r="H21" s="99"/>
      <c r="I21" s="100"/>
      <c r="J21" s="94"/>
    </row>
    <row r="22" spans="1:10" ht="12.75">
      <c r="A22" s="93">
        <v>10</v>
      </c>
      <c r="B22" s="95" t="s">
        <v>1</v>
      </c>
      <c r="C22" s="96"/>
      <c r="D22" s="96"/>
      <c r="E22" s="96"/>
      <c r="F22" s="96"/>
      <c r="G22" s="96"/>
      <c r="H22" s="96"/>
      <c r="I22" s="97"/>
      <c r="J22" s="93" t="s">
        <v>19</v>
      </c>
    </row>
    <row r="23" spans="1:10" ht="12.75">
      <c r="A23" s="94"/>
      <c r="B23" s="98"/>
      <c r="C23" s="99"/>
      <c r="D23" s="99"/>
      <c r="E23" s="99"/>
      <c r="F23" s="99"/>
      <c r="G23" s="99"/>
      <c r="H23" s="99"/>
      <c r="I23" s="100"/>
      <c r="J23" s="94"/>
    </row>
    <row r="24" spans="1:10" ht="12.75">
      <c r="A24" s="93">
        <v>11</v>
      </c>
      <c r="B24" s="95" t="s">
        <v>48</v>
      </c>
      <c r="C24" s="96"/>
      <c r="D24" s="96"/>
      <c r="E24" s="96"/>
      <c r="F24" s="96"/>
      <c r="G24" s="96"/>
      <c r="H24" s="96"/>
      <c r="I24" s="97"/>
      <c r="J24" s="93" t="s">
        <v>20</v>
      </c>
    </row>
    <row r="25" spans="1:10" ht="12.75">
      <c r="A25" s="94"/>
      <c r="B25" s="98"/>
      <c r="C25" s="99"/>
      <c r="D25" s="99"/>
      <c r="E25" s="99"/>
      <c r="F25" s="99"/>
      <c r="G25" s="99"/>
      <c r="H25" s="99"/>
      <c r="I25" s="100"/>
      <c r="J25" s="94"/>
    </row>
    <row r="26" spans="1:10" ht="12.75">
      <c r="A26" s="93">
        <v>12</v>
      </c>
      <c r="B26" s="95" t="s">
        <v>2</v>
      </c>
      <c r="C26" s="96"/>
      <c r="D26" s="96"/>
      <c r="E26" s="96"/>
      <c r="F26" s="96"/>
      <c r="G26" s="96"/>
      <c r="H26" s="96"/>
      <c r="I26" s="97"/>
      <c r="J26" s="93" t="s">
        <v>21</v>
      </c>
    </row>
    <row r="27" spans="1:10" ht="12.75">
      <c r="A27" s="94"/>
      <c r="B27" s="98"/>
      <c r="C27" s="99"/>
      <c r="D27" s="99"/>
      <c r="E27" s="99"/>
      <c r="F27" s="99"/>
      <c r="G27" s="99"/>
      <c r="H27" s="99"/>
      <c r="I27" s="100"/>
      <c r="J27" s="94"/>
    </row>
    <row r="28" spans="1:10" ht="12.75">
      <c r="A28" s="93">
        <v>13</v>
      </c>
      <c r="B28" s="95" t="s">
        <v>49</v>
      </c>
      <c r="C28" s="96"/>
      <c r="D28" s="96"/>
      <c r="E28" s="96"/>
      <c r="F28" s="96"/>
      <c r="G28" s="96"/>
      <c r="H28" s="96"/>
      <c r="I28" s="97"/>
      <c r="J28" s="93" t="s">
        <v>22</v>
      </c>
    </row>
    <row r="29" spans="1:10" ht="12.75">
      <c r="A29" s="94"/>
      <c r="B29" s="98"/>
      <c r="C29" s="99"/>
      <c r="D29" s="99"/>
      <c r="E29" s="99"/>
      <c r="F29" s="99"/>
      <c r="G29" s="99"/>
      <c r="H29" s="99"/>
      <c r="I29" s="100"/>
      <c r="J29" s="94"/>
    </row>
    <row r="30" spans="1:10" ht="12.75">
      <c r="A30" s="93">
        <v>14</v>
      </c>
      <c r="B30" s="95" t="s">
        <v>50</v>
      </c>
      <c r="C30" s="96"/>
      <c r="D30" s="96"/>
      <c r="E30" s="96"/>
      <c r="F30" s="96"/>
      <c r="G30" s="96"/>
      <c r="H30" s="96"/>
      <c r="I30" s="97"/>
      <c r="J30" s="93" t="s">
        <v>23</v>
      </c>
    </row>
    <row r="31" spans="1:10" ht="12.75">
      <c r="A31" s="94"/>
      <c r="B31" s="98"/>
      <c r="C31" s="99"/>
      <c r="D31" s="99"/>
      <c r="E31" s="99"/>
      <c r="F31" s="99"/>
      <c r="G31" s="99"/>
      <c r="H31" s="99"/>
      <c r="I31" s="100"/>
      <c r="J31" s="94"/>
    </row>
    <row r="32" spans="1:10" ht="12.75">
      <c r="A32" s="93">
        <v>15</v>
      </c>
      <c r="B32" s="95" t="s">
        <v>3</v>
      </c>
      <c r="C32" s="96"/>
      <c r="D32" s="96"/>
      <c r="E32" s="96"/>
      <c r="F32" s="96"/>
      <c r="G32" s="96"/>
      <c r="H32" s="96"/>
      <c r="I32" s="97"/>
      <c r="J32" s="93" t="s">
        <v>24</v>
      </c>
    </row>
    <row r="33" spans="1:10" ht="12.75">
      <c r="A33" s="94"/>
      <c r="B33" s="98"/>
      <c r="C33" s="99"/>
      <c r="D33" s="99"/>
      <c r="E33" s="99"/>
      <c r="F33" s="99"/>
      <c r="G33" s="99"/>
      <c r="H33" s="99"/>
      <c r="I33" s="100"/>
      <c r="J33" s="94"/>
    </row>
    <row r="34" spans="1:10" ht="12.75">
      <c r="A34" s="93">
        <v>16</v>
      </c>
      <c r="B34" s="95" t="s">
        <v>47</v>
      </c>
      <c r="C34" s="96"/>
      <c r="D34" s="96"/>
      <c r="E34" s="96"/>
      <c r="F34" s="96"/>
      <c r="G34" s="96"/>
      <c r="H34" s="96"/>
      <c r="I34" s="97"/>
      <c r="J34" s="93" t="s">
        <v>25</v>
      </c>
    </row>
    <row r="35" spans="1:10" ht="12.75">
      <c r="A35" s="94"/>
      <c r="B35" s="98"/>
      <c r="C35" s="99"/>
      <c r="D35" s="99"/>
      <c r="E35" s="99"/>
      <c r="F35" s="99"/>
      <c r="G35" s="99"/>
      <c r="H35" s="99"/>
      <c r="I35" s="100"/>
      <c r="J35" s="94"/>
    </row>
    <row r="36" spans="1:10" ht="12.75">
      <c r="A36" s="93">
        <v>17</v>
      </c>
      <c r="B36" s="95" t="s">
        <v>51</v>
      </c>
      <c r="C36" s="96"/>
      <c r="D36" s="96"/>
      <c r="E36" s="96"/>
      <c r="F36" s="96"/>
      <c r="G36" s="96"/>
      <c r="H36" s="96"/>
      <c r="I36" s="97"/>
      <c r="J36" s="93" t="s">
        <v>26</v>
      </c>
    </row>
    <row r="37" spans="1:10" ht="12.75">
      <c r="A37" s="94"/>
      <c r="B37" s="98"/>
      <c r="C37" s="99"/>
      <c r="D37" s="99"/>
      <c r="E37" s="99"/>
      <c r="F37" s="99"/>
      <c r="G37" s="99"/>
      <c r="H37" s="99"/>
      <c r="I37" s="100"/>
      <c r="J37" s="94"/>
    </row>
    <row r="38" spans="1:10" ht="12.75">
      <c r="A38" s="93">
        <v>18</v>
      </c>
      <c r="B38" s="95" t="s">
        <v>4</v>
      </c>
      <c r="C38" s="96"/>
      <c r="D38" s="96"/>
      <c r="E38" s="96"/>
      <c r="F38" s="96"/>
      <c r="G38" s="96"/>
      <c r="H38" s="96"/>
      <c r="I38" s="97"/>
      <c r="J38" s="93" t="s">
        <v>27</v>
      </c>
    </row>
    <row r="39" spans="1:10" ht="12.75">
      <c r="A39" s="94"/>
      <c r="B39" s="98"/>
      <c r="C39" s="99"/>
      <c r="D39" s="99"/>
      <c r="E39" s="99"/>
      <c r="F39" s="99"/>
      <c r="G39" s="99"/>
      <c r="H39" s="99"/>
      <c r="I39" s="100"/>
      <c r="J39" s="94"/>
    </row>
    <row r="40" spans="1:10" ht="12.75">
      <c r="A40" s="93">
        <v>19</v>
      </c>
      <c r="B40" s="95" t="s">
        <v>5</v>
      </c>
      <c r="C40" s="96"/>
      <c r="D40" s="96"/>
      <c r="E40" s="96"/>
      <c r="F40" s="96"/>
      <c r="G40" s="96"/>
      <c r="H40" s="96"/>
      <c r="I40" s="97"/>
      <c r="J40" s="93" t="s">
        <v>28</v>
      </c>
    </row>
    <row r="41" spans="1:10" ht="12.75">
      <c r="A41" s="94"/>
      <c r="B41" s="98"/>
      <c r="C41" s="99"/>
      <c r="D41" s="99"/>
      <c r="E41" s="99"/>
      <c r="F41" s="99"/>
      <c r="G41" s="99"/>
      <c r="H41" s="99"/>
      <c r="I41" s="100"/>
      <c r="J41" s="94"/>
    </row>
    <row r="42" spans="1:10" ht="12.75">
      <c r="A42" s="93">
        <v>20</v>
      </c>
      <c r="B42" s="95" t="s">
        <v>52</v>
      </c>
      <c r="C42" s="96"/>
      <c r="D42" s="96"/>
      <c r="E42" s="96"/>
      <c r="F42" s="96"/>
      <c r="G42" s="96"/>
      <c r="H42" s="96"/>
      <c r="I42" s="97"/>
      <c r="J42" s="93" t="s">
        <v>29</v>
      </c>
    </row>
    <row r="43" spans="1:10" ht="12.75">
      <c r="A43" s="94"/>
      <c r="B43" s="98"/>
      <c r="C43" s="99"/>
      <c r="D43" s="99"/>
      <c r="E43" s="99"/>
      <c r="F43" s="99"/>
      <c r="G43" s="99"/>
      <c r="H43" s="99"/>
      <c r="I43" s="100"/>
      <c r="J43" s="94"/>
    </row>
    <row r="44" spans="1:10" ht="12.75">
      <c r="A44" s="93">
        <v>21</v>
      </c>
      <c r="B44" s="95" t="s">
        <v>53</v>
      </c>
      <c r="C44" s="96"/>
      <c r="D44" s="96"/>
      <c r="E44" s="96"/>
      <c r="F44" s="96"/>
      <c r="G44" s="96"/>
      <c r="H44" s="96"/>
      <c r="I44" s="97"/>
      <c r="J44" s="93" t="s">
        <v>30</v>
      </c>
    </row>
    <row r="45" spans="1:10" ht="12.75">
      <c r="A45" s="94"/>
      <c r="B45" s="98"/>
      <c r="C45" s="99"/>
      <c r="D45" s="99"/>
      <c r="E45" s="99"/>
      <c r="F45" s="99"/>
      <c r="G45" s="99"/>
      <c r="H45" s="99"/>
      <c r="I45" s="100"/>
      <c r="J45" s="94"/>
    </row>
    <row r="46" spans="1:10" ht="12.75">
      <c r="A46" s="93">
        <v>22</v>
      </c>
      <c r="B46" s="95" t="s">
        <v>54</v>
      </c>
      <c r="C46" s="96"/>
      <c r="D46" s="96"/>
      <c r="E46" s="96"/>
      <c r="F46" s="96"/>
      <c r="G46" s="96"/>
      <c r="H46" s="96"/>
      <c r="I46" s="97"/>
      <c r="J46" s="93" t="s">
        <v>31</v>
      </c>
    </row>
    <row r="47" spans="1:10" ht="12.75">
      <c r="A47" s="94"/>
      <c r="B47" s="98"/>
      <c r="C47" s="99"/>
      <c r="D47" s="99"/>
      <c r="E47" s="99"/>
      <c r="F47" s="99"/>
      <c r="G47" s="99"/>
      <c r="H47" s="99"/>
      <c r="I47" s="100"/>
      <c r="J47" s="94"/>
    </row>
    <row r="48" spans="1:10" ht="12.75">
      <c r="A48" s="93">
        <v>23</v>
      </c>
      <c r="B48" s="95" t="s">
        <v>55</v>
      </c>
      <c r="C48" s="96"/>
      <c r="D48" s="96"/>
      <c r="E48" s="96"/>
      <c r="F48" s="96"/>
      <c r="G48" s="96"/>
      <c r="H48" s="96"/>
      <c r="I48" s="97"/>
      <c r="J48" s="93" t="s">
        <v>32</v>
      </c>
    </row>
    <row r="49" spans="1:10" ht="12.75">
      <c r="A49" s="94"/>
      <c r="B49" s="98"/>
      <c r="C49" s="99"/>
      <c r="D49" s="99"/>
      <c r="E49" s="99"/>
      <c r="F49" s="99"/>
      <c r="G49" s="99"/>
      <c r="H49" s="99"/>
      <c r="I49" s="100"/>
      <c r="J49" s="94"/>
    </row>
    <row r="50" spans="1:10" ht="12.75">
      <c r="A50" s="93">
        <v>24</v>
      </c>
      <c r="B50" s="95" t="s">
        <v>56</v>
      </c>
      <c r="C50" s="96"/>
      <c r="D50" s="96"/>
      <c r="E50" s="96"/>
      <c r="F50" s="96"/>
      <c r="G50" s="96"/>
      <c r="H50" s="96"/>
      <c r="I50" s="97"/>
      <c r="J50" s="93" t="s">
        <v>33</v>
      </c>
    </row>
    <row r="51" spans="1:10" ht="12.75">
      <c r="A51" s="94"/>
      <c r="B51" s="98"/>
      <c r="C51" s="99"/>
      <c r="D51" s="99"/>
      <c r="E51" s="99"/>
      <c r="F51" s="99"/>
      <c r="G51" s="99"/>
      <c r="H51" s="99"/>
      <c r="I51" s="100"/>
      <c r="J51" s="94"/>
    </row>
    <row r="52" spans="1:10" ht="12.75">
      <c r="A52" s="93">
        <v>25</v>
      </c>
      <c r="B52" s="95" t="s">
        <v>57</v>
      </c>
      <c r="C52" s="96"/>
      <c r="D52" s="96"/>
      <c r="E52" s="96"/>
      <c r="F52" s="96"/>
      <c r="G52" s="96"/>
      <c r="H52" s="96"/>
      <c r="I52" s="97"/>
      <c r="J52" s="93" t="s">
        <v>34</v>
      </c>
    </row>
    <row r="53" spans="1:10" ht="12.75">
      <c r="A53" s="94"/>
      <c r="B53" s="98"/>
      <c r="C53" s="99"/>
      <c r="D53" s="99"/>
      <c r="E53" s="99"/>
      <c r="F53" s="99"/>
      <c r="G53" s="99"/>
      <c r="H53" s="99"/>
      <c r="I53" s="100"/>
      <c r="J53" s="94"/>
    </row>
    <row r="54" spans="1:10" ht="12.75">
      <c r="A54" s="93">
        <v>26</v>
      </c>
      <c r="B54" s="95" t="s">
        <v>58</v>
      </c>
      <c r="C54" s="96"/>
      <c r="D54" s="96"/>
      <c r="E54" s="96"/>
      <c r="F54" s="96"/>
      <c r="G54" s="96"/>
      <c r="H54" s="96"/>
      <c r="I54" s="97"/>
      <c r="J54" s="93" t="s">
        <v>35</v>
      </c>
    </row>
    <row r="55" spans="1:10" ht="12.75">
      <c r="A55" s="94"/>
      <c r="B55" s="98"/>
      <c r="C55" s="99"/>
      <c r="D55" s="99"/>
      <c r="E55" s="99"/>
      <c r="F55" s="99"/>
      <c r="G55" s="99"/>
      <c r="H55" s="99"/>
      <c r="I55" s="100"/>
      <c r="J55" s="94"/>
    </row>
    <row r="56" spans="1:10" ht="12.75">
      <c r="A56" s="93">
        <v>27</v>
      </c>
      <c r="B56" s="95" t="s">
        <v>59</v>
      </c>
      <c r="C56" s="96"/>
      <c r="D56" s="96"/>
      <c r="E56" s="96"/>
      <c r="F56" s="96"/>
      <c r="G56" s="96"/>
      <c r="H56" s="96"/>
      <c r="I56" s="97"/>
      <c r="J56" s="93" t="s">
        <v>36</v>
      </c>
    </row>
    <row r="57" spans="1:10" ht="12.75">
      <c r="A57" s="94"/>
      <c r="B57" s="98"/>
      <c r="C57" s="99"/>
      <c r="D57" s="99"/>
      <c r="E57" s="99"/>
      <c r="F57" s="99"/>
      <c r="G57" s="99"/>
      <c r="H57" s="99"/>
      <c r="I57" s="100"/>
      <c r="J57" s="94"/>
    </row>
    <row r="58" spans="1:10" ht="12.75">
      <c r="A58" s="93">
        <v>28</v>
      </c>
      <c r="B58" s="95" t="s">
        <v>6</v>
      </c>
      <c r="C58" s="96"/>
      <c r="D58" s="96"/>
      <c r="E58" s="96"/>
      <c r="F58" s="96"/>
      <c r="G58" s="96"/>
      <c r="H58" s="96"/>
      <c r="I58" s="97"/>
      <c r="J58" s="93" t="s">
        <v>37</v>
      </c>
    </row>
    <row r="59" spans="1:10" ht="12.75">
      <c r="A59" s="94"/>
      <c r="B59" s="98"/>
      <c r="C59" s="99"/>
      <c r="D59" s="99"/>
      <c r="E59" s="99"/>
      <c r="F59" s="99"/>
      <c r="G59" s="99"/>
      <c r="H59" s="99"/>
      <c r="I59" s="100"/>
      <c r="J59" s="94"/>
    </row>
    <row r="60" spans="1:10" ht="12.75">
      <c r="A60" s="93">
        <v>29</v>
      </c>
      <c r="B60" s="95" t="s">
        <v>60</v>
      </c>
      <c r="C60" s="96"/>
      <c r="D60" s="96"/>
      <c r="E60" s="96"/>
      <c r="F60" s="96"/>
      <c r="G60" s="96"/>
      <c r="H60" s="96"/>
      <c r="I60" s="97"/>
      <c r="J60" s="93" t="s">
        <v>38</v>
      </c>
    </row>
    <row r="61" spans="1:10" ht="12.75">
      <c r="A61" s="94"/>
      <c r="B61" s="98"/>
      <c r="C61" s="99"/>
      <c r="D61" s="99"/>
      <c r="E61" s="99"/>
      <c r="F61" s="99"/>
      <c r="G61" s="99"/>
      <c r="H61" s="99"/>
      <c r="I61" s="100"/>
      <c r="J61" s="94"/>
    </row>
    <row r="62" spans="1:10" ht="12.75">
      <c r="A62" s="3"/>
      <c r="B62" s="4"/>
      <c r="C62" s="4"/>
      <c r="D62" s="4"/>
      <c r="E62" s="4"/>
      <c r="F62" s="4"/>
      <c r="G62" s="4"/>
      <c r="H62" s="4"/>
      <c r="I62" s="4"/>
      <c r="J62" s="3"/>
    </row>
  </sheetData>
  <sheetProtection/>
  <mergeCells count="89">
    <mergeCell ref="B12:I13"/>
    <mergeCell ref="B14:I15"/>
    <mergeCell ref="J16:J17"/>
    <mergeCell ref="A16:A17"/>
    <mergeCell ref="B16:I17"/>
    <mergeCell ref="J8:J9"/>
    <mergeCell ref="J10:J11"/>
    <mergeCell ref="J12:J13"/>
    <mergeCell ref="J14:J15"/>
    <mergeCell ref="A14:A15"/>
    <mergeCell ref="B8:I9"/>
    <mergeCell ref="A8:A9"/>
    <mergeCell ref="A10:A11"/>
    <mergeCell ref="A12:A13"/>
    <mergeCell ref="B10:I11"/>
    <mergeCell ref="A1:J1"/>
    <mergeCell ref="B3:I3"/>
    <mergeCell ref="A4:A5"/>
    <mergeCell ref="A6:A7"/>
    <mergeCell ref="J4:J5"/>
    <mergeCell ref="J6:J7"/>
    <mergeCell ref="B4:I5"/>
    <mergeCell ref="B6:I7"/>
    <mergeCell ref="A18:A19"/>
    <mergeCell ref="B18:I19"/>
    <mergeCell ref="J18:J19"/>
    <mergeCell ref="A20:A21"/>
    <mergeCell ref="B20:I21"/>
    <mergeCell ref="J20:J21"/>
    <mergeCell ref="A22:A23"/>
    <mergeCell ref="B22:I23"/>
    <mergeCell ref="J22:J23"/>
    <mergeCell ref="A24:A25"/>
    <mergeCell ref="B24:I25"/>
    <mergeCell ref="J24:J25"/>
    <mergeCell ref="A26:A27"/>
    <mergeCell ref="B26:I27"/>
    <mergeCell ref="J26:J27"/>
    <mergeCell ref="A28:A29"/>
    <mergeCell ref="B28:I29"/>
    <mergeCell ref="J28:J29"/>
    <mergeCell ref="A30:A31"/>
    <mergeCell ref="B30:I31"/>
    <mergeCell ref="J30:J31"/>
    <mergeCell ref="A32:A33"/>
    <mergeCell ref="B32:I33"/>
    <mergeCell ref="J32:J33"/>
    <mergeCell ref="A34:A35"/>
    <mergeCell ref="B34:I35"/>
    <mergeCell ref="J34:J35"/>
    <mergeCell ref="A36:A37"/>
    <mergeCell ref="B36:I37"/>
    <mergeCell ref="J36:J37"/>
    <mergeCell ref="A38:A39"/>
    <mergeCell ref="B38:I39"/>
    <mergeCell ref="J38:J39"/>
    <mergeCell ref="A40:A41"/>
    <mergeCell ref="B40:I41"/>
    <mergeCell ref="J40:J41"/>
    <mergeCell ref="A42:A43"/>
    <mergeCell ref="B42:I43"/>
    <mergeCell ref="J42:J43"/>
    <mergeCell ref="A44:A45"/>
    <mergeCell ref="B44:I45"/>
    <mergeCell ref="J44:J45"/>
    <mergeCell ref="A46:A47"/>
    <mergeCell ref="B46:I47"/>
    <mergeCell ref="J46:J47"/>
    <mergeCell ref="A48:A49"/>
    <mergeCell ref="B48:I49"/>
    <mergeCell ref="J48:J49"/>
    <mergeCell ref="A50:A51"/>
    <mergeCell ref="B50:I51"/>
    <mergeCell ref="J50:J51"/>
    <mergeCell ref="A52:A53"/>
    <mergeCell ref="B52:I53"/>
    <mergeCell ref="J52:J53"/>
    <mergeCell ref="A54:A55"/>
    <mergeCell ref="B54:I55"/>
    <mergeCell ref="J54:J55"/>
    <mergeCell ref="A56:A57"/>
    <mergeCell ref="B56:I57"/>
    <mergeCell ref="J56:J57"/>
    <mergeCell ref="A58:A59"/>
    <mergeCell ref="B58:I59"/>
    <mergeCell ref="J58:J59"/>
    <mergeCell ref="A60:A61"/>
    <mergeCell ref="B60:I61"/>
    <mergeCell ref="J60:J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P314"/>
  <sheetViews>
    <sheetView zoomScalePageLayoutView="0" workbookViewId="0" topLeftCell="A1">
      <selection activeCell="K111" sqref="K111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4.0039062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6" width="9.140625" style="65" customWidth="1"/>
    <col min="17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503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65">
        <f>11.18*1.042</f>
        <v>11.64956</v>
      </c>
    </row>
    <row r="6" spans="1:13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65">
        <f>11.65*0.04</f>
        <v>0.466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6" s="9" customFormat="1" ht="15.75">
      <c r="A11" s="11"/>
      <c r="B11" s="11"/>
      <c r="C11" s="12"/>
      <c r="D11" s="11"/>
      <c r="K11" s="5"/>
      <c r="L11" s="67" t="e">
        <f>#REF!</f>
        <v>#REF!</v>
      </c>
      <c r="M11" s="67"/>
      <c r="N11" s="67"/>
      <c r="O11" s="67"/>
      <c r="P11" s="67"/>
    </row>
    <row r="12" spans="1:16" s="9" customFormat="1" ht="15.75">
      <c r="A12" s="11" t="s">
        <v>69</v>
      </c>
      <c r="B12" s="11"/>
      <c r="C12" s="12"/>
      <c r="D12" s="11"/>
      <c r="E12" s="9">
        <v>85009.2</v>
      </c>
      <c r="F12" s="9" t="s">
        <v>70</v>
      </c>
      <c r="H12" s="13"/>
      <c r="I12" s="13"/>
      <c r="K12" s="13"/>
      <c r="L12" s="92" t="e">
        <f>(K16+K30+K46+K54+K66+K73+#REF!+#REF!)</f>
        <v>#REF!</v>
      </c>
      <c r="M12" s="67"/>
      <c r="N12" s="67"/>
      <c r="O12" s="67"/>
      <c r="P12" s="67"/>
    </row>
    <row r="13" spans="3:16" s="9" customFormat="1" ht="15.75">
      <c r="C13" s="15" t="s">
        <v>71</v>
      </c>
      <c r="D13" s="15"/>
      <c r="K13" s="5"/>
      <c r="L13" s="67"/>
      <c r="M13" s="67"/>
      <c r="N13" s="67"/>
      <c r="O13" s="67"/>
      <c r="P13" s="67"/>
    </row>
    <row r="14" spans="1:13" ht="15.75">
      <c r="A14" s="114" t="s">
        <v>72</v>
      </c>
      <c r="B14" s="114"/>
      <c r="C14" s="114"/>
      <c r="D14" s="114"/>
      <c r="E14" s="114"/>
      <c r="F14" s="114"/>
      <c r="G14" s="114"/>
      <c r="H14" s="16"/>
      <c r="I14" s="16"/>
      <c r="J14" s="16"/>
      <c r="K14" s="17">
        <f>K16+K30+K46+K54+K66+K73+K83</f>
        <v>84011.60246269853</v>
      </c>
      <c r="L14" s="68"/>
      <c r="M14" s="65" t="s">
        <v>309</v>
      </c>
    </row>
    <row r="15" spans="1:13" ht="15.75">
      <c r="A15" s="15"/>
      <c r="B15" s="15"/>
      <c r="C15" s="19"/>
      <c r="D15" s="15"/>
      <c r="E15" s="15"/>
      <c r="F15" s="15"/>
      <c r="G15" s="15"/>
      <c r="H15" s="15"/>
      <c r="I15" s="15"/>
      <c r="J15" s="15"/>
      <c r="K15" s="18"/>
      <c r="L15" s="69"/>
      <c r="M15" s="65" t="s">
        <v>310</v>
      </c>
    </row>
    <row r="16" spans="1:15" ht="15.75">
      <c r="A16" s="20" t="s">
        <v>75</v>
      </c>
      <c r="B16" s="20"/>
      <c r="C16" s="20"/>
      <c r="D16" s="20"/>
      <c r="E16" s="20"/>
      <c r="F16" s="20"/>
      <c r="G16" s="20"/>
      <c r="H16" s="20"/>
      <c r="I16" s="21"/>
      <c r="J16" s="20"/>
      <c r="K16" s="21">
        <f>H18+H19+H20+H22+H24+H25+H26+H27+H28</f>
        <v>6963.945137060745</v>
      </c>
      <c r="M16" s="65" t="s">
        <v>76</v>
      </c>
      <c r="O16" s="78">
        <f>I302</f>
        <v>0.761080808080808</v>
      </c>
    </row>
    <row r="17" spans="1:15" ht="12.75">
      <c r="A17" s="22" t="s">
        <v>280</v>
      </c>
      <c r="B17" s="22"/>
      <c r="C17" s="22"/>
      <c r="D17" s="22"/>
      <c r="E17" s="22"/>
      <c r="F17" s="22"/>
      <c r="G17" s="22"/>
      <c r="H17" s="22"/>
      <c r="I17" s="22"/>
      <c r="J17" s="22">
        <v>2972395.8</v>
      </c>
      <c r="K17" s="23"/>
      <c r="M17" s="65" t="s">
        <v>78</v>
      </c>
      <c r="O17" s="78">
        <f>I307</f>
        <v>0.489375</v>
      </c>
    </row>
    <row r="18" spans="1:15" ht="12.75">
      <c r="A18" s="113" t="s">
        <v>504</v>
      </c>
      <c r="B18" s="113"/>
      <c r="C18" s="113"/>
      <c r="D18" s="113"/>
      <c r="E18" s="113"/>
      <c r="F18" s="113"/>
      <c r="G18" s="22"/>
      <c r="H18" s="23">
        <f>O16*2600*1.75*1.07</f>
        <v>3705.321914141414</v>
      </c>
      <c r="I18" s="22"/>
      <c r="J18" s="22"/>
      <c r="K18" s="23"/>
      <c r="M18" s="65" t="s">
        <v>80</v>
      </c>
      <c r="O18" s="78">
        <f>I312</f>
        <v>0.40285714285714286</v>
      </c>
    </row>
    <row r="19" spans="1:15" ht="12.75" hidden="1">
      <c r="A19" s="113"/>
      <c r="B19" s="113"/>
      <c r="C19" s="113"/>
      <c r="D19" s="113"/>
      <c r="E19" s="113"/>
      <c r="F19" s="113"/>
      <c r="G19" s="22"/>
      <c r="H19" s="23"/>
      <c r="I19" s="22"/>
      <c r="J19" s="22"/>
      <c r="K19" s="23"/>
      <c r="M19" s="65" t="s">
        <v>314</v>
      </c>
      <c r="O19" s="65">
        <v>7104</v>
      </c>
    </row>
    <row r="20" spans="1:15" ht="12.75">
      <c r="A20" s="113" t="s">
        <v>505</v>
      </c>
      <c r="B20" s="113"/>
      <c r="C20" s="113"/>
      <c r="D20" s="113"/>
      <c r="E20" s="113"/>
      <c r="F20" s="113"/>
      <c r="G20" s="22"/>
      <c r="H20" s="23">
        <f>O17*2203*1.3*1.07</f>
        <v>1499.6275368750003</v>
      </c>
      <c r="I20" s="22"/>
      <c r="J20" s="22"/>
      <c r="K20" s="23"/>
      <c r="M20" s="65" t="s">
        <v>83</v>
      </c>
      <c r="O20" s="65">
        <v>381</v>
      </c>
    </row>
    <row r="21" spans="1:13" ht="12.75" hidden="1">
      <c r="A21" s="22"/>
      <c r="B21" s="22"/>
      <c r="C21" s="22"/>
      <c r="D21" s="22"/>
      <c r="E21" s="22"/>
      <c r="F21" s="22"/>
      <c r="G21" s="22"/>
      <c r="H21" s="23"/>
      <c r="I21" s="22"/>
      <c r="J21" s="22"/>
      <c r="M21" s="65" t="s">
        <v>316</v>
      </c>
    </row>
    <row r="22" spans="1:16" ht="12.75">
      <c r="A22" s="23">
        <f>H18+H19+H20</f>
        <v>5204.949451016414</v>
      </c>
      <c r="B22" s="22" t="s">
        <v>84</v>
      </c>
      <c r="C22" s="22"/>
      <c r="D22" s="22"/>
      <c r="E22" s="22"/>
      <c r="F22" s="22"/>
      <c r="G22" s="22"/>
      <c r="H22" s="23">
        <f>(H18+H19+H20)*14.2%</f>
        <v>739.1028220443308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O23" s="65">
        <v>4</v>
      </c>
      <c r="P23" s="65">
        <f>O23/2</f>
        <v>2</v>
      </c>
    </row>
    <row r="24" spans="1:16" ht="12.75">
      <c r="A24" s="113" t="s">
        <v>506</v>
      </c>
      <c r="B24" s="113"/>
      <c r="C24" s="113"/>
      <c r="D24" s="113"/>
      <c r="E24" s="113"/>
      <c r="F24" s="113"/>
      <c r="G24" s="22"/>
      <c r="H24" s="23">
        <f>0.057*O19</f>
        <v>404.928</v>
      </c>
      <c r="I24" s="23"/>
      <c r="J24" s="22"/>
      <c r="K24" s="23"/>
      <c r="N24" s="65">
        <v>10</v>
      </c>
      <c r="P24" s="65">
        <f>O24/2</f>
        <v>0</v>
      </c>
    </row>
    <row r="25" spans="1:14" ht="12.75">
      <c r="A25" s="113" t="s">
        <v>507</v>
      </c>
      <c r="B25" s="113"/>
      <c r="C25" s="113"/>
      <c r="D25" s="113"/>
      <c r="E25" s="113"/>
      <c r="F25" s="113"/>
      <c r="G25" s="113"/>
      <c r="H25" s="23">
        <f>0.0063*O19*1.18</f>
        <v>52.811136</v>
      </c>
      <c r="I25" s="23"/>
      <c r="J25" s="22"/>
      <c r="K25" s="23"/>
      <c r="N25" s="65">
        <v>16</v>
      </c>
    </row>
    <row r="26" spans="1:13" ht="12.75">
      <c r="A26" s="113" t="s">
        <v>508</v>
      </c>
      <c r="B26" s="113"/>
      <c r="C26" s="113"/>
      <c r="D26" s="113"/>
      <c r="E26" s="113"/>
      <c r="F26" s="113"/>
      <c r="G26" s="113"/>
      <c r="H26" s="23">
        <f>O19*0.005</f>
        <v>35.52</v>
      </c>
      <c r="I26" s="22"/>
      <c r="J26" s="22"/>
      <c r="K26" s="23"/>
      <c r="M26" s="65" t="s">
        <v>90</v>
      </c>
    </row>
    <row r="27" spans="1:15" ht="12.75">
      <c r="A27" s="113" t="s">
        <v>509</v>
      </c>
      <c r="B27" s="113"/>
      <c r="C27" s="113"/>
      <c r="D27" s="113"/>
      <c r="E27" s="113"/>
      <c r="F27" s="113"/>
      <c r="G27" s="113"/>
      <c r="H27" s="23">
        <f>O19*0.017</f>
        <v>120.76800000000001</v>
      </c>
      <c r="I27" s="22"/>
      <c r="J27" s="22">
        <v>13606.82</v>
      </c>
      <c r="K27" s="23"/>
      <c r="M27" s="65" t="s">
        <v>92</v>
      </c>
      <c r="O27" s="65">
        <v>48</v>
      </c>
    </row>
    <row r="28" spans="1:15" ht="12.75">
      <c r="A28" s="113" t="s">
        <v>510</v>
      </c>
      <c r="B28" s="113"/>
      <c r="C28" s="113"/>
      <c r="D28" s="113"/>
      <c r="E28" s="113"/>
      <c r="F28" s="113"/>
      <c r="G28" s="113"/>
      <c r="H28" s="23">
        <f>0.054*O19*1.058</f>
        <v>405.865728</v>
      </c>
      <c r="I28" s="22"/>
      <c r="J28" s="22"/>
      <c r="K28" s="23"/>
      <c r="M28" s="65" t="s">
        <v>94</v>
      </c>
      <c r="O28" s="65">
        <v>4035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H32+H33+H34+H35+H36+H37+H38+H39+H40+H41+H42+H43+H44</f>
        <v>19823.402116666664</v>
      </c>
      <c r="M30" s="65" t="s">
        <v>96</v>
      </c>
      <c r="O30" s="69">
        <f>K290</f>
        <v>2.8219756784713543</v>
      </c>
    </row>
    <row r="31" spans="1:11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</row>
    <row r="32" spans="1:11" ht="12.75">
      <c r="A32" s="113" t="s">
        <v>511</v>
      </c>
      <c r="B32" s="113"/>
      <c r="C32" s="113"/>
      <c r="D32" s="113"/>
      <c r="E32" s="113"/>
      <c r="F32" s="113"/>
      <c r="G32" s="113"/>
      <c r="H32" s="28">
        <f>(O20*1.5)/12*90.3*1.058</f>
        <v>4549.968675</v>
      </c>
      <c r="I32" s="22"/>
      <c r="J32" s="22"/>
      <c r="K32" s="29"/>
    </row>
    <row r="33" spans="1:12" ht="12.75">
      <c r="A33" s="113" t="s">
        <v>512</v>
      </c>
      <c r="B33" s="113"/>
      <c r="C33" s="113"/>
      <c r="D33" s="113"/>
      <c r="E33" s="113"/>
      <c r="F33" s="113"/>
      <c r="G33" s="113"/>
      <c r="H33" s="28">
        <f>O20*1.5*33.1/12*1.058</f>
        <v>1667.8179750000002</v>
      </c>
      <c r="I33" s="22"/>
      <c r="J33" s="22"/>
      <c r="K33" s="29"/>
      <c r="L33" s="65">
        <f>1.16*O19</f>
        <v>8240.64</v>
      </c>
    </row>
    <row r="34" spans="1:11" ht="12.75">
      <c r="A34" s="113" t="s">
        <v>513</v>
      </c>
      <c r="B34" s="113"/>
      <c r="C34" s="113"/>
      <c r="D34" s="113"/>
      <c r="E34" s="113"/>
      <c r="F34" s="113"/>
      <c r="G34" s="113"/>
      <c r="H34" s="28">
        <f>O28*2.48</f>
        <v>10006.8</v>
      </c>
      <c r="I34" s="22"/>
      <c r="J34" s="22"/>
      <c r="K34" s="29"/>
    </row>
    <row r="35" spans="1:11" ht="12.75">
      <c r="A35" s="113" t="s">
        <v>514</v>
      </c>
      <c r="B35" s="113"/>
      <c r="C35" s="113"/>
      <c r="D35" s="113"/>
      <c r="E35" s="113"/>
      <c r="F35" s="113"/>
      <c r="G35" s="113"/>
      <c r="H35" s="28">
        <f>O19*0.028</f>
        <v>198.912</v>
      </c>
      <c r="I35" s="22"/>
      <c r="J35" s="22"/>
      <c r="K35" s="29"/>
    </row>
    <row r="36" spans="1:11" ht="12.75">
      <c r="A36" s="113" t="s">
        <v>515</v>
      </c>
      <c r="B36" s="113"/>
      <c r="C36" s="113"/>
      <c r="D36" s="113"/>
      <c r="E36" s="113"/>
      <c r="F36" s="113"/>
      <c r="G36" s="113"/>
      <c r="H36" s="28">
        <f>O19*0.0027</f>
        <v>19.1808</v>
      </c>
      <c r="I36" s="22"/>
      <c r="J36" s="22"/>
      <c r="K36" s="29"/>
    </row>
    <row r="37" spans="1:11" ht="12.75">
      <c r="A37" s="113" t="s">
        <v>516</v>
      </c>
      <c r="B37" s="113"/>
      <c r="C37" s="113"/>
      <c r="D37" s="113"/>
      <c r="E37" s="24"/>
      <c r="F37" s="24"/>
      <c r="G37" s="24"/>
      <c r="H37" s="28">
        <f>O19*0.216</f>
        <v>1534.464</v>
      </c>
      <c r="I37" s="22"/>
      <c r="J37" s="22"/>
      <c r="K37" s="29"/>
    </row>
    <row r="38" spans="1:11" ht="12.75">
      <c r="A38" s="113" t="s">
        <v>103</v>
      </c>
      <c r="B38" s="113"/>
      <c r="C38" s="113"/>
      <c r="D38" s="113"/>
      <c r="E38" s="113"/>
      <c r="F38" s="113"/>
      <c r="G38" s="113"/>
      <c r="H38" s="28">
        <f>O27*4.81/12</f>
        <v>19.24</v>
      </c>
      <c r="I38" s="22"/>
      <c r="J38" s="22"/>
      <c r="K38" s="29"/>
    </row>
    <row r="39" spans="1:11" ht="12.75">
      <c r="A39" s="113" t="s">
        <v>517</v>
      </c>
      <c r="B39" s="113"/>
      <c r="C39" s="113"/>
      <c r="D39" s="113"/>
      <c r="E39" s="113"/>
      <c r="F39" s="113"/>
      <c r="G39" s="113"/>
      <c r="H39" s="28">
        <f>381*80/12/3</f>
        <v>846.6666666666666</v>
      </c>
      <c r="I39" s="22"/>
      <c r="J39" s="22"/>
      <c r="K39" s="29"/>
    </row>
    <row r="40" spans="1:11" ht="12.75">
      <c r="A40" s="113" t="s">
        <v>518</v>
      </c>
      <c r="B40" s="113"/>
      <c r="C40" s="113"/>
      <c r="D40" s="113"/>
      <c r="E40" s="113"/>
      <c r="F40" s="113"/>
      <c r="G40" s="113"/>
      <c r="H40" s="28">
        <f>O19*0.027</f>
        <v>191.808</v>
      </c>
      <c r="I40" s="22"/>
      <c r="J40" s="32"/>
      <c r="K40" s="29"/>
    </row>
    <row r="41" spans="1:11" ht="12.75">
      <c r="A41" s="113" t="s">
        <v>519</v>
      </c>
      <c r="B41" s="113"/>
      <c r="C41" s="113"/>
      <c r="D41" s="113"/>
      <c r="E41" s="113"/>
      <c r="F41" s="113"/>
      <c r="G41" s="113"/>
      <c r="H41" s="28">
        <f>O19*0.022</f>
        <v>156.28799999999998</v>
      </c>
      <c r="I41" s="22"/>
      <c r="J41" s="22"/>
      <c r="K41" s="29"/>
    </row>
    <row r="42" spans="1:11" ht="12.75">
      <c r="A42" s="113" t="s">
        <v>520</v>
      </c>
      <c r="B42" s="113"/>
      <c r="C42" s="113"/>
      <c r="D42" s="113"/>
      <c r="E42" s="113"/>
      <c r="F42" s="113"/>
      <c r="G42" s="113"/>
      <c r="H42" s="28">
        <f>O19*0.022</f>
        <v>156.28799999999998</v>
      </c>
      <c r="I42" s="22"/>
      <c r="J42" s="22"/>
      <c r="K42" s="29"/>
    </row>
    <row r="43" spans="1:11" ht="12.75">
      <c r="A43" s="113" t="s">
        <v>521</v>
      </c>
      <c r="B43" s="113"/>
      <c r="C43" s="113"/>
      <c r="D43" s="113"/>
      <c r="E43" s="113"/>
      <c r="F43" s="113"/>
      <c r="G43" s="24"/>
      <c r="H43" s="28">
        <f>O19*0.053</f>
        <v>376.512</v>
      </c>
      <c r="I43" s="22"/>
      <c r="J43" s="22"/>
      <c r="K43" s="29"/>
    </row>
    <row r="44" spans="1:11" ht="12.75">
      <c r="A44" s="113" t="s">
        <v>522</v>
      </c>
      <c r="B44" s="113"/>
      <c r="C44" s="113"/>
      <c r="D44" s="113"/>
      <c r="E44" s="113"/>
      <c r="F44" s="113"/>
      <c r="G44" s="24"/>
      <c r="H44" s="28">
        <f>O19*0.014</f>
        <v>99.456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1" ht="15.75">
      <c r="A46" s="86" t="s">
        <v>148</v>
      </c>
      <c r="B46" s="86"/>
      <c r="C46" s="86"/>
      <c r="D46" s="86"/>
      <c r="E46" s="86"/>
      <c r="F46" s="86"/>
      <c r="G46" s="86"/>
      <c r="H46" s="87"/>
      <c r="I46" s="88"/>
      <c r="J46" s="88">
        <v>9460.05</v>
      </c>
      <c r="K46" s="89">
        <f>H48+H49+H50+H51+H52</f>
        <v>15736.229019607843</v>
      </c>
    </row>
    <row r="47" spans="1:11" ht="12.75">
      <c r="A47" s="24"/>
      <c r="B47" s="24" t="s">
        <v>64</v>
      </c>
      <c r="C47" s="24"/>
      <c r="D47" s="24"/>
      <c r="E47" s="24"/>
      <c r="F47" s="24"/>
      <c r="G47" s="24"/>
      <c r="H47" s="28"/>
      <c r="I47" s="22"/>
      <c r="J47" s="22"/>
      <c r="K47" s="29"/>
    </row>
    <row r="48" spans="1:13" ht="12.75">
      <c r="A48" s="113" t="s">
        <v>523</v>
      </c>
      <c r="B48" s="113"/>
      <c r="C48" s="113"/>
      <c r="D48" s="113"/>
      <c r="E48" s="113"/>
      <c r="F48" s="113"/>
      <c r="G48" s="24"/>
      <c r="H48" s="28">
        <f>O19*2.07</f>
        <v>14705.279999999999</v>
      </c>
      <c r="I48" s="22"/>
      <c r="J48" s="22"/>
      <c r="K48" s="29"/>
      <c r="M48" s="65">
        <v>18024</v>
      </c>
    </row>
    <row r="49" spans="1:11" ht="12.75">
      <c r="A49" s="113" t="s">
        <v>524</v>
      </c>
      <c r="B49" s="113"/>
      <c r="C49" s="113"/>
      <c r="D49" s="113"/>
      <c r="E49" s="113"/>
      <c r="F49" s="113"/>
      <c r="G49" s="24"/>
      <c r="H49" s="28">
        <f>1380*4/12</f>
        <v>460</v>
      </c>
      <c r="I49" s="22"/>
      <c r="J49" s="22"/>
      <c r="K49" s="29"/>
    </row>
    <row r="50" spans="1:11" ht="12.75">
      <c r="A50" s="113" t="s">
        <v>525</v>
      </c>
      <c r="B50" s="113"/>
      <c r="C50" s="113"/>
      <c r="D50" s="113"/>
      <c r="E50" s="113"/>
      <c r="F50" s="113"/>
      <c r="G50" s="113"/>
      <c r="H50" s="28">
        <f>1567*4/12</f>
        <v>522.3333333333334</v>
      </c>
      <c r="I50" s="22"/>
      <c r="J50" s="22"/>
      <c r="K50" s="29"/>
    </row>
    <row r="51" spans="1:11" ht="12.75">
      <c r="A51" s="113" t="s">
        <v>526</v>
      </c>
      <c r="B51" s="113"/>
      <c r="C51" s="113"/>
      <c r="D51" s="113"/>
      <c r="E51" s="113"/>
      <c r="F51" s="113"/>
      <c r="G51" s="113"/>
      <c r="H51" s="28">
        <f>56.4*4/2/12</f>
        <v>9.4</v>
      </c>
      <c r="I51" s="22"/>
      <c r="J51" s="22"/>
      <c r="K51" s="29"/>
    </row>
    <row r="52" spans="1:11" ht="12.75">
      <c r="A52" s="24" t="s">
        <v>340</v>
      </c>
      <c r="B52" s="24"/>
      <c r="C52" s="24"/>
      <c r="D52" s="24"/>
      <c r="E52" s="24"/>
      <c r="F52" s="24"/>
      <c r="G52" s="24"/>
      <c r="H52" s="28">
        <f>10000/85*4/12</f>
        <v>39.2156862745098</v>
      </c>
      <c r="I52" s="22"/>
      <c r="J52" s="22"/>
      <c r="K52" s="29"/>
    </row>
    <row r="53" spans="1:11" ht="12.75">
      <c r="A53" s="24"/>
      <c r="B53" s="24"/>
      <c r="C53" s="24"/>
      <c r="D53" s="24"/>
      <c r="E53" s="24"/>
      <c r="F53" s="24"/>
      <c r="G53" s="24"/>
      <c r="H53" s="28"/>
      <c r="I53" s="22"/>
      <c r="J53" s="22"/>
      <c r="K53" s="29"/>
    </row>
    <row r="54" spans="1:13" ht="15.75">
      <c r="A54" s="20" t="s">
        <v>111</v>
      </c>
      <c r="B54" s="20"/>
      <c r="C54" s="20"/>
      <c r="D54" s="20"/>
      <c r="E54" s="20"/>
      <c r="F54" s="20"/>
      <c r="G54" s="20"/>
      <c r="H54" s="27"/>
      <c r="I54" s="20"/>
      <c r="J54" s="20"/>
      <c r="K54" s="21">
        <f>H57+H59+H60+H61+H62+H63+H64</f>
        <v>28889.792589363282</v>
      </c>
      <c r="M54" s="71">
        <f>K54/309084*O19</f>
        <v>664.0042401251335</v>
      </c>
    </row>
    <row r="55" spans="1:11" ht="12.75">
      <c r="A55" s="22"/>
      <c r="B55" s="22" t="s">
        <v>64</v>
      </c>
      <c r="C55" s="22"/>
      <c r="D55" s="22"/>
      <c r="E55" s="22"/>
      <c r="F55" s="22"/>
      <c r="G55" s="22"/>
      <c r="H55" s="28"/>
      <c r="I55" s="22"/>
      <c r="J55" s="22"/>
      <c r="K55" s="29"/>
    </row>
    <row r="56" spans="1:11" ht="12.75">
      <c r="A56" s="33" t="s">
        <v>112</v>
      </c>
      <c r="B56" s="33"/>
      <c r="C56" s="33"/>
      <c r="D56" s="33"/>
      <c r="E56" s="33"/>
      <c r="F56" s="33"/>
      <c r="G56" s="33"/>
      <c r="H56" s="34"/>
      <c r="I56" s="33"/>
      <c r="J56" s="33"/>
      <c r="K56" s="35"/>
    </row>
    <row r="57" spans="1:13" ht="12.75">
      <c r="A57" s="111" t="s">
        <v>527</v>
      </c>
      <c r="B57" s="111"/>
      <c r="C57" s="111"/>
      <c r="D57" s="111"/>
      <c r="E57" s="111"/>
      <c r="F57" s="111"/>
      <c r="G57" s="36"/>
      <c r="H57" s="37">
        <f>K290*24.48*165.1*1.5*1.07</f>
        <v>18305.71893289254</v>
      </c>
      <c r="I57" s="38"/>
      <c r="J57" s="38"/>
      <c r="K57" s="35"/>
      <c r="M57" s="69">
        <f>K290</f>
        <v>2.8219756784713543</v>
      </c>
    </row>
    <row r="58" spans="1:11" ht="12.75">
      <c r="A58" s="33" t="s">
        <v>114</v>
      </c>
      <c r="B58" s="33"/>
      <c r="C58" s="33"/>
      <c r="D58" s="33"/>
      <c r="E58" s="33"/>
      <c r="F58" s="33"/>
      <c r="G58" s="33"/>
      <c r="H58" s="34"/>
      <c r="I58" s="33"/>
      <c r="J58" s="33"/>
      <c r="K58" s="35"/>
    </row>
    <row r="59" spans="1:11" ht="12.75">
      <c r="A59" s="39">
        <f>H57</f>
        <v>18305.71893289254</v>
      </c>
      <c r="B59" s="36" t="s">
        <v>115</v>
      </c>
      <c r="C59" s="36"/>
      <c r="D59" s="36"/>
      <c r="E59" s="36"/>
      <c r="F59" s="36"/>
      <c r="G59" s="38"/>
      <c r="H59" s="37">
        <f>H57*14.2%</f>
        <v>2599.412088470741</v>
      </c>
      <c r="I59" s="38"/>
      <c r="J59" s="38"/>
      <c r="K59" s="35"/>
    </row>
    <row r="60" spans="1:11" ht="12.75">
      <c r="A60" s="30" t="s">
        <v>528</v>
      </c>
      <c r="B60" s="30"/>
      <c r="C60" s="30"/>
      <c r="D60" s="30"/>
      <c r="E60" s="30"/>
      <c r="F60" s="40"/>
      <c r="G60" s="40"/>
      <c r="H60" s="37">
        <f>0.04*O19</f>
        <v>284.16</v>
      </c>
      <c r="I60" s="38"/>
      <c r="J60" s="38"/>
      <c r="K60" s="35"/>
    </row>
    <row r="61" spans="1:11" ht="12.75">
      <c r="A61" s="108" t="s">
        <v>529</v>
      </c>
      <c r="B61" s="108"/>
      <c r="C61" s="108"/>
      <c r="D61" s="108"/>
      <c r="E61" s="108"/>
      <c r="F61" s="108"/>
      <c r="G61" s="108"/>
      <c r="H61" s="37">
        <f>0.97*O19</f>
        <v>6890.88</v>
      </c>
      <c r="I61" s="38"/>
      <c r="J61" s="38"/>
      <c r="K61" s="35"/>
    </row>
    <row r="62" spans="1:11" ht="12.75">
      <c r="A62" s="108" t="s">
        <v>530</v>
      </c>
      <c r="B62" s="108"/>
      <c r="C62" s="108"/>
      <c r="D62" s="108"/>
      <c r="E62" s="108"/>
      <c r="F62" s="30"/>
      <c r="G62" s="30"/>
      <c r="H62" s="37">
        <f>0.0037*O19</f>
        <v>26.2848</v>
      </c>
      <c r="I62" s="38"/>
      <c r="J62" s="38"/>
      <c r="K62" s="35"/>
    </row>
    <row r="63" spans="1:12" ht="12.75">
      <c r="A63" s="108" t="s">
        <v>531</v>
      </c>
      <c r="B63" s="108"/>
      <c r="C63" s="108"/>
      <c r="D63" s="108"/>
      <c r="E63" s="108"/>
      <c r="F63" s="108"/>
      <c r="G63" s="108"/>
      <c r="H63" s="37">
        <f>O19*0.082</f>
        <v>582.528</v>
      </c>
      <c r="I63" s="38"/>
      <c r="J63" s="38"/>
      <c r="K63" s="35"/>
      <c r="L63" s="69"/>
    </row>
    <row r="64" spans="1:13" ht="12.75">
      <c r="A64" s="108" t="s">
        <v>532</v>
      </c>
      <c r="B64" s="108"/>
      <c r="C64" s="108"/>
      <c r="D64" s="108"/>
      <c r="E64" s="108"/>
      <c r="F64" s="108"/>
      <c r="G64" s="108"/>
      <c r="H64" s="31">
        <f>O19*0.023*1.229</f>
        <v>200.80876800000001</v>
      </c>
      <c r="I64" s="33"/>
      <c r="J64" s="33"/>
      <c r="K64" s="35"/>
      <c r="M64" s="65">
        <f>36646.37/309083*O19</f>
        <v>842.2844753027505</v>
      </c>
    </row>
    <row r="65" spans="1:11" ht="12.75">
      <c r="A65" s="38"/>
      <c r="B65" s="38"/>
      <c r="C65" s="38"/>
      <c r="D65" s="40"/>
      <c r="E65" s="40"/>
      <c r="F65" s="40"/>
      <c r="G65" s="38"/>
      <c r="H65" s="37"/>
      <c r="I65" s="40"/>
      <c r="J65" s="40"/>
      <c r="K65" s="122"/>
    </row>
    <row r="66" spans="1:13" ht="15.75">
      <c r="A66" s="110" t="s">
        <v>121</v>
      </c>
      <c r="B66" s="110"/>
      <c r="C66" s="110"/>
      <c r="D66" s="110"/>
      <c r="E66" s="42"/>
      <c r="F66" s="42"/>
      <c r="G66" s="20"/>
      <c r="H66" s="27"/>
      <c r="I66" s="20"/>
      <c r="J66" s="20"/>
      <c r="K66" s="21">
        <f>H68+H69+H70+H71</f>
        <v>5774.8416</v>
      </c>
      <c r="M66" s="72">
        <f>51932.37/301083*O19</f>
        <v>1225.3350620260858</v>
      </c>
    </row>
    <row r="67" spans="1:11" ht="12.75">
      <c r="A67" s="111" t="s">
        <v>122</v>
      </c>
      <c r="B67" s="111"/>
      <c r="C67" s="111"/>
      <c r="D67" s="111"/>
      <c r="E67" s="111"/>
      <c r="F67" s="111"/>
      <c r="G67" s="36"/>
      <c r="H67" s="37"/>
      <c r="I67" s="36"/>
      <c r="J67" s="36"/>
      <c r="K67" s="35"/>
    </row>
    <row r="68" spans="1:11" ht="12.75">
      <c r="A68" s="36" t="s">
        <v>533</v>
      </c>
      <c r="B68" s="36"/>
      <c r="C68" s="36"/>
      <c r="D68" s="36"/>
      <c r="E68" s="36"/>
      <c r="F68" s="36"/>
      <c r="G68" s="36"/>
      <c r="H68" s="37">
        <f>0.2227*O19</f>
        <v>1582.0608</v>
      </c>
      <c r="I68" s="36"/>
      <c r="J68" s="36"/>
      <c r="K68" s="35"/>
    </row>
    <row r="69" spans="1:11" ht="12.75">
      <c r="A69" s="30" t="s">
        <v>534</v>
      </c>
      <c r="B69" s="43"/>
      <c r="C69" s="30"/>
      <c r="D69" s="30"/>
      <c r="E69" s="44"/>
      <c r="F69" s="38"/>
      <c r="G69" s="38"/>
      <c r="H69" s="37">
        <f>0.0257*O19</f>
        <v>182.5728</v>
      </c>
      <c r="I69" s="38"/>
      <c r="J69" s="38"/>
      <c r="K69" s="35"/>
    </row>
    <row r="70" spans="1:11" ht="12.75">
      <c r="A70" s="111" t="s">
        <v>535</v>
      </c>
      <c r="B70" s="111"/>
      <c r="C70" s="111"/>
      <c r="D70" s="111"/>
      <c r="E70" s="111"/>
      <c r="F70" s="38"/>
      <c r="G70" s="38"/>
      <c r="H70" s="37">
        <f>0.0945*O19</f>
        <v>671.328</v>
      </c>
      <c r="I70" s="38"/>
      <c r="J70" s="38"/>
      <c r="K70" s="35"/>
    </row>
    <row r="71" spans="1:11" ht="12.75">
      <c r="A71" s="36" t="s">
        <v>536</v>
      </c>
      <c r="B71" s="36"/>
      <c r="C71" s="36"/>
      <c r="D71" s="36"/>
      <c r="E71" s="36"/>
      <c r="F71" s="38"/>
      <c r="G71" s="38"/>
      <c r="H71" s="37">
        <f>0.47*O19</f>
        <v>3338.8799999999997</v>
      </c>
      <c r="I71" s="38"/>
      <c r="J71" s="38"/>
      <c r="K71" s="45"/>
    </row>
    <row r="72" spans="1:11" ht="12.75">
      <c r="A72" s="30"/>
      <c r="B72" s="30"/>
      <c r="C72" s="30"/>
      <c r="D72" s="30"/>
      <c r="E72" s="30"/>
      <c r="F72" s="30"/>
      <c r="G72" s="30"/>
      <c r="H72" s="37"/>
      <c r="I72" s="38"/>
      <c r="J72" s="38"/>
      <c r="K72" s="35"/>
    </row>
    <row r="73" spans="1:13" ht="15.75">
      <c r="A73" s="26" t="s">
        <v>127</v>
      </c>
      <c r="B73" s="26"/>
      <c r="C73" s="26"/>
      <c r="D73" s="26"/>
      <c r="E73" s="26"/>
      <c r="F73" s="26"/>
      <c r="G73" s="26"/>
      <c r="H73" s="46"/>
      <c r="I73" s="20"/>
      <c r="J73" s="20"/>
      <c r="K73" s="21">
        <f>O19*0.94</f>
        <v>6677.759999999999</v>
      </c>
      <c r="M73" s="71">
        <f>231179.9/309083*O19</f>
        <v>5313.465993276886</v>
      </c>
    </row>
    <row r="74" spans="1:11" ht="15.75">
      <c r="A74" s="47"/>
      <c r="B74" s="47"/>
      <c r="C74" s="112" t="s">
        <v>64</v>
      </c>
      <c r="D74" s="112"/>
      <c r="E74" s="47"/>
      <c r="F74" s="47"/>
      <c r="G74" s="47"/>
      <c r="H74" s="48"/>
      <c r="I74" s="47"/>
      <c r="J74" s="47"/>
      <c r="K74" s="49"/>
    </row>
    <row r="75" spans="1:11" ht="12.75">
      <c r="A75" s="30" t="s">
        <v>128</v>
      </c>
      <c r="B75" s="30"/>
      <c r="C75" s="30"/>
      <c r="D75" s="30"/>
      <c r="E75" s="30"/>
      <c r="F75" s="30"/>
      <c r="G75" s="30"/>
      <c r="H75" s="37"/>
      <c r="I75" s="38"/>
      <c r="J75" s="38"/>
      <c r="K75" s="35"/>
    </row>
    <row r="76" spans="1:11" ht="12.75">
      <c r="A76" s="30" t="s">
        <v>129</v>
      </c>
      <c r="B76" s="43"/>
      <c r="C76" s="30"/>
      <c r="D76" s="30"/>
      <c r="E76" s="30"/>
      <c r="F76" s="44"/>
      <c r="G76" s="44"/>
      <c r="H76" s="37"/>
      <c r="I76" s="38"/>
      <c r="J76" s="38"/>
      <c r="K76" s="35"/>
    </row>
    <row r="77" spans="1:11" ht="12.75">
      <c r="A77" s="108" t="s">
        <v>130</v>
      </c>
      <c r="B77" s="108"/>
      <c r="C77" s="108"/>
      <c r="D77" s="108"/>
      <c r="E77" s="108"/>
      <c r="F77" s="108"/>
      <c r="G77" s="44"/>
      <c r="H77" s="37"/>
      <c r="I77" s="38"/>
      <c r="J77" s="38"/>
      <c r="K77" s="35"/>
    </row>
    <row r="78" spans="1:11" ht="12.75">
      <c r="A78" s="108" t="s">
        <v>131</v>
      </c>
      <c r="B78" s="108"/>
      <c r="C78" s="108"/>
      <c r="D78" s="108"/>
      <c r="E78" s="108"/>
      <c r="F78" s="108"/>
      <c r="G78" s="108"/>
      <c r="H78" s="37"/>
      <c r="I78" s="38"/>
      <c r="J78" s="38"/>
      <c r="K78" s="35"/>
    </row>
    <row r="79" spans="1:11" ht="12.75">
      <c r="A79" s="108" t="s">
        <v>132</v>
      </c>
      <c r="B79" s="108"/>
      <c r="C79" s="108"/>
      <c r="D79" s="108"/>
      <c r="E79" s="109"/>
      <c r="F79" s="109"/>
      <c r="G79" s="109"/>
      <c r="H79" s="37"/>
      <c r="I79" s="38"/>
      <c r="J79" s="38"/>
      <c r="K79" s="35"/>
    </row>
    <row r="80" spans="1:11" ht="12.75">
      <c r="A80" s="108" t="s">
        <v>133</v>
      </c>
      <c r="B80" s="108"/>
      <c r="C80" s="108"/>
      <c r="D80" s="108"/>
      <c r="E80" s="108"/>
      <c r="F80" s="44"/>
      <c r="G80" s="44"/>
      <c r="H80" s="37"/>
      <c r="I80" s="38"/>
      <c r="J80" s="38"/>
      <c r="K80" s="35"/>
    </row>
    <row r="81" spans="1:14" ht="12.75">
      <c r="A81" s="44" t="s">
        <v>134</v>
      </c>
      <c r="B81" s="44"/>
      <c r="C81" s="44"/>
      <c r="D81" s="44"/>
      <c r="E81" s="44"/>
      <c r="F81" s="44"/>
      <c r="G81" s="44"/>
      <c r="H81" s="37"/>
      <c r="I81" s="38"/>
      <c r="J81" s="38"/>
      <c r="K81" s="35"/>
      <c r="N81" s="69">
        <f>K16+K30+K46+K54+K66+K73</f>
        <v>83865.97046269853</v>
      </c>
    </row>
    <row r="82" spans="1:14" ht="12.75">
      <c r="A82" s="22"/>
      <c r="B82" s="22"/>
      <c r="C82" s="22"/>
      <c r="D82" s="22"/>
      <c r="E82" s="22"/>
      <c r="F82" s="22"/>
      <c r="G82" s="22"/>
      <c r="H82" s="28"/>
      <c r="I82" s="22"/>
      <c r="J82" s="22"/>
      <c r="K82" s="29"/>
      <c r="N82" s="65" t="e">
        <f>#REF!*97%</f>
        <v>#REF!</v>
      </c>
    </row>
    <row r="83" spans="1:14" ht="15.75">
      <c r="A83" s="20" t="s">
        <v>135</v>
      </c>
      <c r="B83" s="20"/>
      <c r="C83" s="20"/>
      <c r="D83" s="20"/>
      <c r="E83" s="20"/>
      <c r="F83" s="51"/>
      <c r="G83" s="51"/>
      <c r="H83" s="52"/>
      <c r="I83" s="51"/>
      <c r="J83" s="51"/>
      <c r="K83" s="21">
        <f>0.0205*O19</f>
        <v>145.632</v>
      </c>
      <c r="L83" s="72" t="e">
        <f>#REF!-(K16+K30+K46+K54+K66+#REF!+#REF!+K73)</f>
        <v>#REF!</v>
      </c>
      <c r="M83" s="72"/>
      <c r="N83" s="65" t="e">
        <f>(N82-N81)*0.15</f>
        <v>#REF!</v>
      </c>
    </row>
    <row r="84" spans="1:13" ht="15.75">
      <c r="A84" s="54"/>
      <c r="B84" s="54"/>
      <c r="C84" s="54"/>
      <c r="D84" s="54"/>
      <c r="E84" s="54"/>
      <c r="F84" s="53"/>
      <c r="G84" s="53"/>
      <c r="H84" s="55"/>
      <c r="I84" s="53"/>
      <c r="J84" s="53"/>
      <c r="K84" s="56"/>
      <c r="L84" s="72"/>
      <c r="M84" s="72"/>
    </row>
    <row r="85" spans="1:11" ht="15.75">
      <c r="A85" s="57" t="s">
        <v>537</v>
      </c>
      <c r="B85" s="57"/>
      <c r="C85" s="57"/>
      <c r="D85" s="58"/>
      <c r="E85" s="58"/>
      <c r="F85" s="58"/>
      <c r="G85" s="58"/>
      <c r="H85" s="59"/>
      <c r="I85" s="58"/>
      <c r="J85" s="58"/>
      <c r="K85" s="60">
        <f>K14*6%</f>
        <v>5040.696147761912</v>
      </c>
    </row>
    <row r="86" spans="1:11" ht="15.75">
      <c r="A86" s="57"/>
      <c r="B86" s="57"/>
      <c r="C86" s="57"/>
      <c r="D86" s="58"/>
      <c r="E86" s="58"/>
      <c r="F86" s="58"/>
      <c r="G86" s="58"/>
      <c r="H86" s="59"/>
      <c r="I86" s="58"/>
      <c r="J86" s="58"/>
      <c r="K86" s="60"/>
    </row>
    <row r="87" spans="1:11" ht="15.75">
      <c r="A87" s="63" t="s">
        <v>137</v>
      </c>
      <c r="B87" s="63"/>
      <c r="C87" s="63"/>
      <c r="D87" s="63"/>
      <c r="E87" s="63"/>
      <c r="F87" s="63"/>
      <c r="G87" s="63"/>
      <c r="H87" s="63"/>
      <c r="I87" s="63"/>
      <c r="J87" s="63"/>
      <c r="K87" s="64">
        <f>K85+K14</f>
        <v>89052.29861046045</v>
      </c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 t="s">
        <v>138</v>
      </c>
      <c r="B89" s="63"/>
      <c r="C89" s="63"/>
      <c r="D89" s="63"/>
      <c r="E89" s="63"/>
      <c r="F89" s="63"/>
      <c r="G89" s="63"/>
      <c r="H89" s="63"/>
      <c r="I89" s="63"/>
      <c r="J89" s="63"/>
      <c r="K89" s="64">
        <f>K87/O19</f>
        <v>12.535515007103104</v>
      </c>
    </row>
    <row r="90" spans="1:11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1:11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4"/>
    </row>
    <row r="92" spans="1:11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1" ht="15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4"/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4"/>
    </row>
    <row r="96" spans="1:11" ht="15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102" spans="3:9" s="65" customFormat="1" ht="15.75">
      <c r="C102" s="106" t="s">
        <v>139</v>
      </c>
      <c r="D102" s="107"/>
      <c r="E102" s="107"/>
      <c r="F102" s="107"/>
      <c r="G102" s="107"/>
      <c r="H102" s="107"/>
      <c r="I102" s="107"/>
    </row>
    <row r="103" spans="3:9" s="65" customFormat="1" ht="15.75">
      <c r="C103" s="74" t="s">
        <v>140</v>
      </c>
      <c r="D103" s="74" t="s">
        <v>141</v>
      </c>
      <c r="E103" s="74"/>
      <c r="F103" s="74"/>
      <c r="G103" s="75"/>
      <c r="H103" s="75"/>
      <c r="I103" s="75"/>
    </row>
    <row r="104" s="65" customFormat="1" ht="12.75"/>
    <row r="105" s="65" customFormat="1" ht="12.75">
      <c r="E105" s="65" t="s">
        <v>142</v>
      </c>
    </row>
    <row r="106" spans="5:8" s="65" customFormat="1" ht="12.75">
      <c r="E106" s="65" t="s">
        <v>143</v>
      </c>
      <c r="H106" s="65">
        <v>1200</v>
      </c>
    </row>
    <row r="107" spans="5:8" s="65" customFormat="1" ht="12.75">
      <c r="E107" s="65" t="s">
        <v>144</v>
      </c>
      <c r="H107" s="65">
        <v>1324</v>
      </c>
    </row>
    <row r="108" spans="5:8" s="65" customFormat="1" ht="12.75">
      <c r="E108" s="65" t="s">
        <v>145</v>
      </c>
      <c r="H108" s="65">
        <v>332</v>
      </c>
    </row>
    <row r="109" spans="5:8" s="65" customFormat="1" ht="12.75">
      <c r="E109" s="65" t="s">
        <v>146</v>
      </c>
      <c r="H109" s="65">
        <v>5351.8</v>
      </c>
    </row>
    <row r="110" s="65" customFormat="1" ht="12.75"/>
    <row r="111" spans="1:11" s="65" customFormat="1" ht="15.75">
      <c r="A111" s="105" t="s">
        <v>72</v>
      </c>
      <c r="B111" s="105"/>
      <c r="C111" s="105"/>
      <c r="D111" s="105"/>
      <c r="E111" s="105"/>
      <c r="F111" s="105"/>
      <c r="G111" s="105"/>
      <c r="H111" s="76" t="e">
        <f>H113+H115+H117+H119+H121+H123+H125</f>
        <v>#REF!</v>
      </c>
      <c r="I111" s="77" t="s">
        <v>70</v>
      </c>
      <c r="K111" s="78" t="e">
        <f>H111-20000</f>
        <v>#REF!</v>
      </c>
    </row>
    <row r="112" spans="1:7" s="65" customFormat="1" ht="12.75">
      <c r="A112" s="79"/>
      <c r="B112" s="79"/>
      <c r="C112" s="79"/>
      <c r="D112" s="79"/>
      <c r="E112" s="79"/>
      <c r="F112" s="79"/>
      <c r="G112" s="79"/>
    </row>
    <row r="113" spans="1:8" s="65" customFormat="1" ht="15.75">
      <c r="A113" s="80" t="s">
        <v>147</v>
      </c>
      <c r="B113" s="80"/>
      <c r="C113" s="80"/>
      <c r="D113" s="80"/>
      <c r="E113" s="80"/>
      <c r="F113" s="80"/>
      <c r="G113" s="80"/>
      <c r="H113" s="78">
        <f>K16</f>
        <v>6963.945137060745</v>
      </c>
    </row>
    <row r="114" spans="1:8" s="65" customFormat="1" ht="12.75">
      <c r="A114" s="79"/>
      <c r="B114" s="79"/>
      <c r="C114" s="79"/>
      <c r="D114" s="79"/>
      <c r="E114" s="79"/>
      <c r="F114" s="79"/>
      <c r="G114" s="79"/>
      <c r="H114" s="78"/>
    </row>
    <row r="115" spans="1:8" s="65" customFormat="1" ht="15.75">
      <c r="A115" s="105" t="s">
        <v>95</v>
      </c>
      <c r="B115" s="105"/>
      <c r="C115" s="105"/>
      <c r="D115" s="105"/>
      <c r="E115" s="105"/>
      <c r="F115" s="80"/>
      <c r="G115" s="80"/>
      <c r="H115" s="78">
        <f>K30</f>
        <v>19823.402116666664</v>
      </c>
    </row>
    <row r="116" spans="1:8" s="65" customFormat="1" ht="12.75">
      <c r="A116" s="79"/>
      <c r="B116" s="79"/>
      <c r="C116" s="79"/>
      <c r="D116" s="79"/>
      <c r="E116" s="79"/>
      <c r="F116" s="79"/>
      <c r="G116" s="79"/>
      <c r="H116" s="78"/>
    </row>
    <row r="117" spans="1:8" s="65" customFormat="1" ht="15.75">
      <c r="A117" s="105" t="s">
        <v>148</v>
      </c>
      <c r="B117" s="105"/>
      <c r="C117" s="105"/>
      <c r="D117" s="105"/>
      <c r="E117" s="105"/>
      <c r="F117" s="105"/>
      <c r="G117" s="105"/>
      <c r="H117" s="81" t="e">
        <f>#REF!</f>
        <v>#REF!</v>
      </c>
    </row>
    <row r="118" spans="1:8" s="65" customFormat="1" ht="12.75">
      <c r="A118" s="79"/>
      <c r="B118" s="79"/>
      <c r="C118" s="79"/>
      <c r="D118" s="79"/>
      <c r="E118" s="79"/>
      <c r="F118" s="79"/>
      <c r="G118" s="79"/>
      <c r="H118" s="82"/>
    </row>
    <row r="119" spans="1:8" s="65" customFormat="1" ht="15.75">
      <c r="A119" s="80" t="s">
        <v>111</v>
      </c>
      <c r="B119" s="80"/>
      <c r="C119" s="80"/>
      <c r="D119" s="80"/>
      <c r="E119" s="80"/>
      <c r="F119" s="80"/>
      <c r="G119" s="80"/>
      <c r="H119" s="82">
        <f>M54</f>
        <v>664.0042401251335</v>
      </c>
    </row>
    <row r="120" spans="1:8" s="65" customFormat="1" ht="12.75">
      <c r="A120" s="79"/>
      <c r="B120" s="79"/>
      <c r="C120" s="79"/>
      <c r="D120" s="79"/>
      <c r="E120" s="79"/>
      <c r="F120" s="79"/>
      <c r="G120" s="79"/>
      <c r="H120" s="82"/>
    </row>
    <row r="121" spans="1:8" s="65" customFormat="1" ht="15.75">
      <c r="A121" s="105" t="s">
        <v>149</v>
      </c>
      <c r="B121" s="105"/>
      <c r="C121" s="105"/>
      <c r="D121" s="105"/>
      <c r="E121" s="80"/>
      <c r="F121" s="80"/>
      <c r="G121" s="80"/>
      <c r="H121" s="81">
        <f>M66</f>
        <v>1225.3350620260858</v>
      </c>
    </row>
    <row r="122" spans="1:8" s="65" customFormat="1" ht="12.75">
      <c r="A122" s="79"/>
      <c r="B122" s="79"/>
      <c r="C122" s="79"/>
      <c r="D122" s="79"/>
      <c r="E122" s="79"/>
      <c r="F122" s="79"/>
      <c r="G122" s="79"/>
      <c r="H122" s="82"/>
    </row>
    <row r="123" spans="1:8" s="65" customFormat="1" ht="15.75">
      <c r="A123" s="83" t="s">
        <v>127</v>
      </c>
      <c r="B123" s="83"/>
      <c r="C123" s="83"/>
      <c r="D123" s="83"/>
      <c r="E123" s="83"/>
      <c r="F123" s="83"/>
      <c r="G123" s="83"/>
      <c r="H123" s="81">
        <f>M73</f>
        <v>5313.465993276886</v>
      </c>
    </row>
    <row r="124" spans="1:8" s="65" customFormat="1" ht="12.75">
      <c r="A124" s="79"/>
      <c r="B124" s="79"/>
      <c r="C124" s="79"/>
      <c r="D124" s="79"/>
      <c r="E124" s="79"/>
      <c r="F124" s="79"/>
      <c r="G124" s="79"/>
      <c r="H124" s="82"/>
    </row>
    <row r="125" spans="1:8" s="65" customFormat="1" ht="15.75">
      <c r="A125" s="80" t="s">
        <v>150</v>
      </c>
      <c r="B125" s="80"/>
      <c r="C125" s="80"/>
      <c r="D125" s="80"/>
      <c r="E125" s="80"/>
      <c r="F125" s="84"/>
      <c r="G125" s="84"/>
      <c r="H125" s="81" t="e">
        <f>L83</f>
        <v>#REF!</v>
      </c>
    </row>
    <row r="126" s="65" customFormat="1" ht="12.75"/>
    <row r="127" s="65" customFormat="1" ht="12.75"/>
    <row r="128" s="65" customFormat="1" ht="12.75">
      <c r="H128" s="65" t="s">
        <v>151</v>
      </c>
    </row>
    <row r="129" s="65" customFormat="1" ht="12.75">
      <c r="H129" s="65" t="s">
        <v>146</v>
      </c>
    </row>
    <row r="130" s="65" customFormat="1" ht="12.75">
      <c r="H130" s="65" t="s">
        <v>152</v>
      </c>
    </row>
    <row r="131" s="65" customFormat="1" ht="12.75"/>
    <row r="132" s="65" customFormat="1" ht="12.75"/>
    <row r="133" s="65" customFormat="1" ht="12.75">
      <c r="F133" s="65" t="s">
        <v>153</v>
      </c>
    </row>
    <row r="134" s="65" customFormat="1" ht="12.75">
      <c r="D134" s="65" t="s">
        <v>154</v>
      </c>
    </row>
    <row r="135" s="65" customFormat="1" ht="12.75">
      <c r="D135" s="65" t="s">
        <v>155</v>
      </c>
    </row>
    <row r="136" spans="6:13" s="65" customFormat="1" ht="12.75">
      <c r="F136" s="65" t="s">
        <v>156</v>
      </c>
      <c r="M136" s="65" t="s">
        <v>157</v>
      </c>
    </row>
    <row r="137" s="65" customFormat="1" ht="12.75">
      <c r="M137" s="65" t="s">
        <v>158</v>
      </c>
    </row>
    <row r="138" spans="1:13" s="65" customFormat="1" ht="12.75">
      <c r="A138" s="65" t="s">
        <v>159</v>
      </c>
      <c r="B138" s="65" t="s">
        <v>160</v>
      </c>
      <c r="D138" s="65" t="s">
        <v>161</v>
      </c>
      <c r="F138" s="65" t="s">
        <v>162</v>
      </c>
      <c r="G138" s="65" t="s">
        <v>163</v>
      </c>
      <c r="H138" s="65" t="s">
        <v>164</v>
      </c>
      <c r="J138" s="65" t="s">
        <v>165</v>
      </c>
      <c r="M138" s="73" t="s">
        <v>166</v>
      </c>
    </row>
    <row r="139" spans="1:14" s="65" customFormat="1" ht="12.75">
      <c r="A139" s="65" t="s">
        <v>167</v>
      </c>
      <c r="B139" s="65" t="s">
        <v>168</v>
      </c>
      <c r="D139" s="65" t="s">
        <v>169</v>
      </c>
      <c r="F139" s="65" t="s">
        <v>170</v>
      </c>
      <c r="G139" s="65" t="s">
        <v>171</v>
      </c>
      <c r="H139" s="65" t="s">
        <v>172</v>
      </c>
      <c r="J139" s="65" t="s">
        <v>173</v>
      </c>
      <c r="M139" s="65" t="s">
        <v>174</v>
      </c>
      <c r="N139" s="65">
        <v>7483.1</v>
      </c>
    </row>
    <row r="140" spans="8:9" s="65" customFormat="1" ht="12.75">
      <c r="H140" s="65" t="s">
        <v>175</v>
      </c>
      <c r="I140" s="65" t="s">
        <v>176</v>
      </c>
    </row>
    <row r="141" spans="8:13" s="65" customFormat="1" ht="12.75">
      <c r="H141" s="65" t="s">
        <v>170</v>
      </c>
      <c r="I141" s="65" t="s">
        <v>177</v>
      </c>
      <c r="M141" s="65" t="s">
        <v>178</v>
      </c>
    </row>
    <row r="142" spans="9:13" s="65" customFormat="1" ht="12.75">
      <c r="I142" s="65" t="s">
        <v>179</v>
      </c>
      <c r="M142" s="65" t="s">
        <v>158</v>
      </c>
    </row>
    <row r="143" s="65" customFormat="1" ht="12.75">
      <c r="M143" s="73" t="s">
        <v>166</v>
      </c>
    </row>
    <row r="144" spans="1:14" s="65" customFormat="1" ht="12.75">
      <c r="A144" s="65" t="s">
        <v>180</v>
      </c>
      <c r="B144" s="65" t="s">
        <v>181</v>
      </c>
      <c r="D144" s="65" t="s">
        <v>182</v>
      </c>
      <c r="M144" s="65" t="s">
        <v>174</v>
      </c>
      <c r="N144" s="65">
        <v>1020.3</v>
      </c>
    </row>
    <row r="145" spans="2:4" s="65" customFormat="1" ht="12.75">
      <c r="B145" s="65" t="s">
        <v>183</v>
      </c>
      <c r="D145" s="65" t="s">
        <v>184</v>
      </c>
    </row>
    <row r="146" spans="2:13" s="65" customFormat="1" ht="12.75">
      <c r="B146" s="65" t="s">
        <v>185</v>
      </c>
      <c r="D146" s="65" t="s">
        <v>186</v>
      </c>
      <c r="M146" s="65" t="s">
        <v>187</v>
      </c>
    </row>
    <row r="147" spans="2:13" s="65" customFormat="1" ht="12.75">
      <c r="B147" s="65" t="s">
        <v>188</v>
      </c>
      <c r="D147" s="65" t="s">
        <v>189</v>
      </c>
      <c r="M147" s="65" t="s">
        <v>158</v>
      </c>
    </row>
    <row r="148" spans="2:13" s="65" customFormat="1" ht="12.75">
      <c r="B148" s="65" t="s">
        <v>190</v>
      </c>
      <c r="M148" s="73" t="s">
        <v>166</v>
      </c>
    </row>
    <row r="149" spans="4:14" s="65" customFormat="1" ht="12.75">
      <c r="D149" s="65" t="s">
        <v>191</v>
      </c>
      <c r="M149" s="65" t="s">
        <v>174</v>
      </c>
      <c r="N149" s="65">
        <v>1020.3</v>
      </c>
    </row>
    <row r="150" spans="4:6" s="65" customFormat="1" ht="12.75">
      <c r="D150" s="65" t="s">
        <v>192</v>
      </c>
      <c r="F150" s="65" t="s">
        <v>193</v>
      </c>
    </row>
    <row r="151" spans="4:13" s="65" customFormat="1" ht="12.75">
      <c r="D151" s="65" t="s">
        <v>158</v>
      </c>
      <c r="F151" s="65" t="s">
        <v>194</v>
      </c>
      <c r="H151" s="65">
        <v>0.0687</v>
      </c>
      <c r="I151" s="65">
        <v>0</v>
      </c>
      <c r="K151" s="65">
        <f>N142/1000*H151</f>
        <v>0</v>
      </c>
      <c r="M151" s="65" t="s">
        <v>195</v>
      </c>
    </row>
    <row r="152" spans="4:13" s="65" customFormat="1" ht="12.75">
      <c r="D152" s="65" t="s">
        <v>196</v>
      </c>
      <c r="F152" s="65" t="s">
        <v>197</v>
      </c>
      <c r="H152" s="65">
        <v>0.0763</v>
      </c>
      <c r="I152" s="65">
        <v>0</v>
      </c>
      <c r="K152" s="65">
        <f>N143/1000*H152</f>
        <v>0</v>
      </c>
      <c r="M152" s="65" t="s">
        <v>158</v>
      </c>
    </row>
    <row r="153" spans="4:13" s="65" customFormat="1" ht="12.75">
      <c r="D153" s="65" t="s">
        <v>198</v>
      </c>
      <c r="F153" s="65" t="s">
        <v>199</v>
      </c>
      <c r="H153" s="65">
        <v>0.0839</v>
      </c>
      <c r="I153" s="65">
        <v>0</v>
      </c>
      <c r="K153" s="69">
        <f>N144/1000*H153</f>
        <v>0.08560317</v>
      </c>
      <c r="M153" s="73" t="s">
        <v>166</v>
      </c>
    </row>
    <row r="154" spans="6:13" s="65" customFormat="1" ht="12.75">
      <c r="F154" s="65" t="s">
        <v>200</v>
      </c>
      <c r="M154" s="65" t="s">
        <v>174</v>
      </c>
    </row>
    <row r="155" s="65" customFormat="1" ht="12.75">
      <c r="F155" s="65" t="s">
        <v>190</v>
      </c>
    </row>
    <row r="156" spans="5:9" s="65" customFormat="1" ht="12.75">
      <c r="E156" s="65" t="s">
        <v>201</v>
      </c>
      <c r="I156" s="65">
        <v>0</v>
      </c>
    </row>
    <row r="157" spans="2:4" s="65" customFormat="1" ht="12.75">
      <c r="B157" s="65" t="s">
        <v>202</v>
      </c>
      <c r="D157" s="65" t="s">
        <v>203</v>
      </c>
    </row>
    <row r="158" s="65" customFormat="1" ht="12.75">
      <c r="D158" s="65" t="s">
        <v>204</v>
      </c>
    </row>
    <row r="159" s="65" customFormat="1" ht="12.75">
      <c r="D159" s="65" t="s">
        <v>205</v>
      </c>
    </row>
    <row r="160" s="65" customFormat="1" ht="12.75">
      <c r="D160" s="65" t="s">
        <v>191</v>
      </c>
    </row>
    <row r="161" spans="4:11" s="65" customFormat="1" ht="12.75">
      <c r="D161" s="65" t="s">
        <v>158</v>
      </c>
      <c r="H161" s="65">
        <v>0.00338</v>
      </c>
      <c r="K161" s="69">
        <f>N165/1000*H161</f>
        <v>0</v>
      </c>
    </row>
    <row r="162" spans="4:11" s="65" customFormat="1" ht="12.75">
      <c r="D162" s="65" t="s">
        <v>196</v>
      </c>
      <c r="H162" s="65">
        <v>0.00376</v>
      </c>
      <c r="K162" s="69">
        <f>N166/1000*H162</f>
        <v>0</v>
      </c>
    </row>
    <row r="163" spans="4:11" s="65" customFormat="1" ht="12.75">
      <c r="D163" s="65" t="s">
        <v>198</v>
      </c>
      <c r="H163" s="65">
        <v>0.00414</v>
      </c>
      <c r="K163" s="69">
        <f>N167/1000*H163</f>
        <v>0.030980033999999997</v>
      </c>
    </row>
    <row r="164" s="65" customFormat="1" ht="12.75">
      <c r="M164" s="65" t="s">
        <v>206</v>
      </c>
    </row>
    <row r="165" spans="1:13" s="65" customFormat="1" ht="12.75">
      <c r="A165" s="65" t="s">
        <v>207</v>
      </c>
      <c r="B165" s="65" t="s">
        <v>208</v>
      </c>
      <c r="D165" s="65" t="s">
        <v>203</v>
      </c>
      <c r="M165" s="65" t="s">
        <v>158</v>
      </c>
    </row>
    <row r="166" spans="4:13" s="65" customFormat="1" ht="12.75">
      <c r="D166" s="65" t="s">
        <v>209</v>
      </c>
      <c r="M166" s="73" t="s">
        <v>166</v>
      </c>
    </row>
    <row r="167" spans="4:14" s="65" customFormat="1" ht="12.75">
      <c r="D167" s="65" t="s">
        <v>191</v>
      </c>
      <c r="M167" s="65" t="s">
        <v>174</v>
      </c>
      <c r="N167" s="65">
        <v>7483.1</v>
      </c>
    </row>
    <row r="168" spans="4:11" s="65" customFormat="1" ht="12.75">
      <c r="D168" s="65" t="s">
        <v>158</v>
      </c>
      <c r="H168" s="65">
        <v>0.02043</v>
      </c>
      <c r="I168" s="65">
        <v>0</v>
      </c>
      <c r="K168" s="65">
        <f>N152/1000*H168</f>
        <v>0</v>
      </c>
    </row>
    <row r="169" spans="4:13" s="65" customFormat="1" ht="12.75">
      <c r="D169" s="65" t="s">
        <v>196</v>
      </c>
      <c r="H169" s="65">
        <v>0.0227</v>
      </c>
      <c r="I169" s="65">
        <v>0</v>
      </c>
      <c r="K169" s="65">
        <f>N153/1000*H169</f>
        <v>0</v>
      </c>
      <c r="M169" s="65" t="s">
        <v>210</v>
      </c>
    </row>
    <row r="170" spans="4:13" s="65" customFormat="1" ht="12.75">
      <c r="D170" s="65" t="s">
        <v>198</v>
      </c>
      <c r="H170" s="65">
        <v>0.02497</v>
      </c>
      <c r="I170" s="65">
        <v>0</v>
      </c>
      <c r="K170" s="65">
        <f>N154/1000*H170</f>
        <v>0</v>
      </c>
      <c r="M170" s="65" t="s">
        <v>158</v>
      </c>
    </row>
    <row r="171" spans="4:13" s="65" customFormat="1" ht="12.75">
      <c r="D171" s="65" t="s">
        <v>211</v>
      </c>
      <c r="M171" s="73" t="s">
        <v>166</v>
      </c>
    </row>
    <row r="172" spans="4:14" s="65" customFormat="1" ht="12.75">
      <c r="D172" s="65" t="s">
        <v>191</v>
      </c>
      <c r="M172" s="65" t="s">
        <v>174</v>
      </c>
      <c r="N172" s="65">
        <v>381</v>
      </c>
    </row>
    <row r="173" spans="4:6" s="65" customFormat="1" ht="12.75">
      <c r="D173" s="65" t="s">
        <v>192</v>
      </c>
      <c r="F173" s="65" t="s">
        <v>193</v>
      </c>
    </row>
    <row r="174" spans="4:11" s="65" customFormat="1" ht="12.75">
      <c r="D174" s="65" t="s">
        <v>158</v>
      </c>
      <c r="H174" s="65">
        <v>0.00999</v>
      </c>
      <c r="K174" s="69">
        <f>N137/1000*H174</f>
        <v>0</v>
      </c>
    </row>
    <row r="175" spans="4:11" s="65" customFormat="1" ht="12.75">
      <c r="D175" s="65" t="s">
        <v>196</v>
      </c>
      <c r="H175" s="65">
        <v>0.0111</v>
      </c>
      <c r="K175" s="69">
        <f>N138/1000*H175</f>
        <v>0</v>
      </c>
    </row>
    <row r="176" spans="4:11" s="65" customFormat="1" ht="12.75">
      <c r="D176" s="65" t="s">
        <v>198</v>
      </c>
      <c r="H176" s="65">
        <v>0.01221</v>
      </c>
      <c r="I176" s="65">
        <v>0</v>
      </c>
      <c r="K176" s="69">
        <f>N139/1000*H176</f>
        <v>0.09136865100000001</v>
      </c>
    </row>
    <row r="177" s="65" customFormat="1" ht="12.75">
      <c r="I177" s="65">
        <v>0</v>
      </c>
    </row>
    <row r="178" spans="5:9" s="65" customFormat="1" ht="12.75">
      <c r="E178" s="65" t="s">
        <v>201</v>
      </c>
      <c r="G178" s="65">
        <v>0</v>
      </c>
      <c r="I178" s="65">
        <v>0</v>
      </c>
    </row>
    <row r="179" spans="1:6" s="65" customFormat="1" ht="12.75">
      <c r="A179" s="65" t="s">
        <v>212</v>
      </c>
      <c r="B179" s="65" t="s">
        <v>213</v>
      </c>
      <c r="D179" s="65" t="s">
        <v>203</v>
      </c>
      <c r="F179" s="65" t="s">
        <v>193</v>
      </c>
    </row>
    <row r="180" spans="2:6" s="65" customFormat="1" ht="12.75">
      <c r="B180" s="65" t="s">
        <v>214</v>
      </c>
      <c r="D180" s="65" t="s">
        <v>209</v>
      </c>
      <c r="F180" s="65" t="s">
        <v>215</v>
      </c>
    </row>
    <row r="181" spans="4:6" s="65" customFormat="1" ht="12.75">
      <c r="D181" s="65" t="s">
        <v>191</v>
      </c>
      <c r="F181" s="65" t="s">
        <v>216</v>
      </c>
    </row>
    <row r="182" spans="4:11" s="65" customFormat="1" ht="12.75">
      <c r="D182" s="65" t="s">
        <v>158</v>
      </c>
      <c r="H182" s="65">
        <v>0.018432</v>
      </c>
      <c r="I182" s="65">
        <v>0</v>
      </c>
      <c r="K182" s="65">
        <f>N152/1000*H182</f>
        <v>0</v>
      </c>
    </row>
    <row r="183" spans="4:11" s="65" customFormat="1" ht="12.75">
      <c r="D183" s="65" t="s">
        <v>196</v>
      </c>
      <c r="H183" s="65">
        <v>0.02048</v>
      </c>
      <c r="I183" s="65">
        <v>0</v>
      </c>
      <c r="K183" s="65">
        <f>N153/1000*H183</f>
        <v>0</v>
      </c>
    </row>
    <row r="184" spans="4:11" s="65" customFormat="1" ht="12.75">
      <c r="D184" s="65" t="s">
        <v>198</v>
      </c>
      <c r="K184" s="65">
        <f>N154/1000*H184</f>
        <v>0</v>
      </c>
    </row>
    <row r="185" s="65" customFormat="1" ht="12.75">
      <c r="D185" s="65" t="s">
        <v>211</v>
      </c>
    </row>
    <row r="186" s="65" customFormat="1" ht="12.75">
      <c r="D186" s="65" t="s">
        <v>191</v>
      </c>
    </row>
    <row r="187" s="65" customFormat="1" ht="12.75">
      <c r="D187" s="65" t="s">
        <v>192</v>
      </c>
    </row>
    <row r="188" spans="4:11" s="65" customFormat="1" ht="12.75">
      <c r="D188" s="65" t="s">
        <v>158</v>
      </c>
      <c r="K188" s="69">
        <f>N137/1000*H188</f>
        <v>0</v>
      </c>
    </row>
    <row r="189" spans="4:11" s="65" customFormat="1" ht="12.75">
      <c r="D189" s="65" t="s">
        <v>196</v>
      </c>
      <c r="H189" s="65">
        <v>0.02295</v>
      </c>
      <c r="I189" s="65">
        <v>0</v>
      </c>
      <c r="K189" s="69">
        <f>N138/1000*H189</f>
        <v>0</v>
      </c>
    </row>
    <row r="190" spans="4:11" s="65" customFormat="1" ht="12.75">
      <c r="D190" s="65" t="s">
        <v>198</v>
      </c>
      <c r="H190" s="65">
        <v>0.025245</v>
      </c>
      <c r="I190" s="65">
        <v>0</v>
      </c>
      <c r="K190" s="69">
        <f>N139/1000*H190</f>
        <v>0.1889108595</v>
      </c>
    </row>
    <row r="191" spans="5:11" s="65" customFormat="1" ht="12.75">
      <c r="E191" s="65" t="s">
        <v>201</v>
      </c>
      <c r="G191" s="65">
        <v>0</v>
      </c>
      <c r="I191" s="65">
        <v>0</v>
      </c>
      <c r="K191" s="69"/>
    </row>
    <row r="192" s="65" customFormat="1" ht="12.75">
      <c r="K192" s="69"/>
    </row>
    <row r="193" spans="1:11" s="65" customFormat="1" ht="12.75">
      <c r="A193" s="65" t="s">
        <v>217</v>
      </c>
      <c r="B193" s="65" t="s">
        <v>218</v>
      </c>
      <c r="D193" s="65" t="s">
        <v>203</v>
      </c>
      <c r="K193" s="69"/>
    </row>
    <row r="194" spans="4:11" s="65" customFormat="1" ht="12.75">
      <c r="D194" s="65" t="s">
        <v>209</v>
      </c>
      <c r="K194" s="69"/>
    </row>
    <row r="195" spans="4:11" s="65" customFormat="1" ht="12.75">
      <c r="D195" s="65" t="s">
        <v>191</v>
      </c>
      <c r="K195" s="69"/>
    </row>
    <row r="196" spans="4:11" s="65" customFormat="1" ht="12.75">
      <c r="D196" s="65" t="s">
        <v>158</v>
      </c>
      <c r="H196" s="65">
        <v>0.027585</v>
      </c>
      <c r="I196" s="65">
        <v>0</v>
      </c>
      <c r="K196" s="69">
        <f>N152/1000*H196</f>
        <v>0</v>
      </c>
    </row>
    <row r="197" spans="4:11" s="65" customFormat="1" ht="12.75">
      <c r="D197" s="65" t="s">
        <v>196</v>
      </c>
      <c r="H197" s="65">
        <v>0.3065</v>
      </c>
      <c r="I197" s="65">
        <v>0</v>
      </c>
      <c r="K197" s="69">
        <f>N153/1000*H197</f>
        <v>0</v>
      </c>
    </row>
    <row r="198" spans="4:11" s="65" customFormat="1" ht="12.75">
      <c r="D198" s="65" t="s">
        <v>198</v>
      </c>
      <c r="K198" s="69">
        <f>N154/1000*H198</f>
        <v>0</v>
      </c>
    </row>
    <row r="199" spans="4:11" s="65" customFormat="1" ht="12.75">
      <c r="D199" s="65" t="s">
        <v>211</v>
      </c>
      <c r="K199" s="69"/>
    </row>
    <row r="200" spans="4:11" s="65" customFormat="1" ht="12.75">
      <c r="D200" s="65" t="s">
        <v>191</v>
      </c>
      <c r="K200" s="69"/>
    </row>
    <row r="201" spans="4:11" s="65" customFormat="1" ht="12.75">
      <c r="D201" s="65" t="s">
        <v>192</v>
      </c>
      <c r="K201" s="69"/>
    </row>
    <row r="202" spans="4:11" s="65" customFormat="1" ht="12.75">
      <c r="D202" s="65" t="s">
        <v>158</v>
      </c>
      <c r="K202" s="69">
        <f>N137/1000*H202</f>
        <v>0</v>
      </c>
    </row>
    <row r="203" spans="4:11" s="65" customFormat="1" ht="12.75">
      <c r="D203" s="65" t="s">
        <v>196</v>
      </c>
      <c r="H203" s="65">
        <v>0.00539</v>
      </c>
      <c r="I203" s="65">
        <v>0</v>
      </c>
      <c r="K203" s="69">
        <f>N138/1000*H203</f>
        <v>0</v>
      </c>
    </row>
    <row r="204" spans="4:11" s="65" customFormat="1" ht="12.75">
      <c r="D204" s="65" t="s">
        <v>198</v>
      </c>
      <c r="H204" s="65">
        <v>0.005929</v>
      </c>
      <c r="I204" s="65">
        <v>0</v>
      </c>
      <c r="K204" s="69">
        <f>N139/1000*H204</f>
        <v>0.044367299900000004</v>
      </c>
    </row>
    <row r="205" spans="5:11" s="65" customFormat="1" ht="12.75">
      <c r="E205" s="65" t="s">
        <v>201</v>
      </c>
      <c r="G205" s="65">
        <v>0</v>
      </c>
      <c r="I205" s="65">
        <v>0</v>
      </c>
      <c r="K205" s="69"/>
    </row>
    <row r="206" s="65" customFormat="1" ht="12.75">
      <c r="K206" s="69"/>
    </row>
    <row r="207" spans="1:11" s="65" customFormat="1" ht="12.75">
      <c r="A207" s="65" t="s">
        <v>219</v>
      </c>
      <c r="B207" s="65" t="s">
        <v>220</v>
      </c>
      <c r="D207" s="65" t="s">
        <v>203</v>
      </c>
      <c r="K207" s="69"/>
    </row>
    <row r="208" spans="2:11" s="65" customFormat="1" ht="12.75">
      <c r="B208" s="65" t="s">
        <v>214</v>
      </c>
      <c r="D208" s="65" t="s">
        <v>209</v>
      </c>
      <c r="K208" s="69"/>
    </row>
    <row r="209" spans="4:11" s="65" customFormat="1" ht="12.75">
      <c r="D209" s="65" t="s">
        <v>191</v>
      </c>
      <c r="K209" s="69"/>
    </row>
    <row r="210" spans="4:11" s="65" customFormat="1" ht="12.75">
      <c r="D210" s="65" t="s">
        <v>158</v>
      </c>
      <c r="H210" s="65">
        <v>0.022437</v>
      </c>
      <c r="I210" s="65">
        <v>0</v>
      </c>
      <c r="K210" s="69">
        <f>N152/1000*H210</f>
        <v>0</v>
      </c>
    </row>
    <row r="211" spans="4:11" s="65" customFormat="1" ht="12.75">
      <c r="D211" s="65" t="s">
        <v>196</v>
      </c>
      <c r="H211" s="65">
        <v>0.02493</v>
      </c>
      <c r="I211" s="65">
        <v>0</v>
      </c>
      <c r="K211" s="69">
        <f>N153/1000*H211</f>
        <v>0</v>
      </c>
    </row>
    <row r="212" spans="4:11" s="65" customFormat="1" ht="12.75">
      <c r="D212" s="65" t="s">
        <v>198</v>
      </c>
      <c r="K212" s="65">
        <f>N154/1000*H212</f>
        <v>0</v>
      </c>
    </row>
    <row r="213" s="65" customFormat="1" ht="12.75">
      <c r="D213" s="65" t="s">
        <v>211</v>
      </c>
    </row>
    <row r="214" s="65" customFormat="1" ht="12.75">
      <c r="D214" s="65" t="s">
        <v>191</v>
      </c>
    </row>
    <row r="215" s="65" customFormat="1" ht="12.75">
      <c r="D215" s="65" t="s">
        <v>192</v>
      </c>
    </row>
    <row r="216" spans="4:11" s="65" customFormat="1" ht="12.75">
      <c r="D216" s="65" t="s">
        <v>158</v>
      </c>
      <c r="K216" s="69">
        <f>N137/1000*H216</f>
        <v>0</v>
      </c>
    </row>
    <row r="217" spans="4:11" s="65" customFormat="1" ht="12.75">
      <c r="D217" s="65" t="s">
        <v>196</v>
      </c>
      <c r="H217" s="65">
        <v>0.00888</v>
      </c>
      <c r="I217" s="65">
        <v>0</v>
      </c>
      <c r="K217" s="69">
        <f>N138/1000*H217</f>
        <v>0</v>
      </c>
    </row>
    <row r="218" spans="4:11" s="65" customFormat="1" ht="12.75">
      <c r="D218" s="65" t="s">
        <v>198</v>
      </c>
      <c r="H218" s="65">
        <v>0.009768</v>
      </c>
      <c r="I218" s="65">
        <v>0</v>
      </c>
      <c r="K218" s="69">
        <f>N139/1000*H218</f>
        <v>0.0730949208</v>
      </c>
    </row>
    <row r="219" spans="5:11" s="65" customFormat="1" ht="12.75">
      <c r="E219" s="65" t="s">
        <v>201</v>
      </c>
      <c r="G219" s="65">
        <v>0</v>
      </c>
      <c r="I219" s="65">
        <v>0</v>
      </c>
      <c r="K219" s="69"/>
    </row>
    <row r="220" s="65" customFormat="1" ht="12.75">
      <c r="K220" s="69"/>
    </row>
    <row r="221" spans="2:4" s="65" customFormat="1" ht="12.75">
      <c r="B221" s="65" t="s">
        <v>221</v>
      </c>
      <c r="D221" s="65" t="s">
        <v>203</v>
      </c>
    </row>
    <row r="222" s="65" customFormat="1" ht="12.75">
      <c r="D222" s="65" t="s">
        <v>204</v>
      </c>
    </row>
    <row r="223" s="65" customFormat="1" ht="12.75">
      <c r="D223" s="65" t="s">
        <v>205</v>
      </c>
    </row>
    <row r="224" s="65" customFormat="1" ht="12.75">
      <c r="D224" s="65" t="s">
        <v>191</v>
      </c>
    </row>
    <row r="225" spans="4:11" s="65" customFormat="1" ht="12.75">
      <c r="D225" s="65" t="s">
        <v>158</v>
      </c>
      <c r="H225" s="65">
        <v>0.0243</v>
      </c>
      <c r="K225" s="69">
        <f>N165/1000*H225</f>
        <v>0</v>
      </c>
    </row>
    <row r="226" spans="4:11" s="65" customFormat="1" ht="12.75">
      <c r="D226" s="65" t="s">
        <v>196</v>
      </c>
      <c r="H226" s="65">
        <v>0.027</v>
      </c>
      <c r="K226" s="69">
        <f>N166/1000*H226</f>
        <v>0</v>
      </c>
    </row>
    <row r="227" spans="4:11" s="65" customFormat="1" ht="12.75">
      <c r="D227" s="65" t="s">
        <v>198</v>
      </c>
      <c r="H227" s="65">
        <v>0.0297</v>
      </c>
      <c r="K227" s="69">
        <f>N167/1000*H227</f>
        <v>0.22224807000000002</v>
      </c>
    </row>
    <row r="228" spans="1:11" s="65" customFormat="1" ht="12.75">
      <c r="A228" s="65" t="s">
        <v>222</v>
      </c>
      <c r="B228" s="65" t="s">
        <v>223</v>
      </c>
      <c r="D228" s="65" t="s">
        <v>203</v>
      </c>
      <c r="K228" s="69"/>
    </row>
    <row r="229" spans="4:11" s="65" customFormat="1" ht="12.75">
      <c r="D229" s="65" t="s">
        <v>209</v>
      </c>
      <c r="K229" s="69"/>
    </row>
    <row r="230" spans="4:11" s="65" customFormat="1" ht="12.75">
      <c r="D230" s="65" t="s">
        <v>191</v>
      </c>
      <c r="K230" s="69"/>
    </row>
    <row r="231" spans="4:11" s="65" customFormat="1" ht="12.75">
      <c r="D231" s="65" t="s">
        <v>158</v>
      </c>
      <c r="H231" s="65">
        <v>0.01773</v>
      </c>
      <c r="I231" s="65">
        <v>0</v>
      </c>
      <c r="K231" s="69">
        <f>N152/1000*H231</f>
        <v>0</v>
      </c>
    </row>
    <row r="232" spans="4:11" s="65" customFormat="1" ht="12.75">
      <c r="D232" s="65" t="s">
        <v>196</v>
      </c>
      <c r="H232" s="65">
        <v>0.0197</v>
      </c>
      <c r="I232" s="65">
        <v>0</v>
      </c>
      <c r="K232" s="69">
        <f>N153/1000*H232</f>
        <v>0</v>
      </c>
    </row>
    <row r="233" spans="4:11" s="65" customFormat="1" ht="12.75">
      <c r="D233" s="65" t="s">
        <v>198</v>
      </c>
      <c r="K233" s="69">
        <f>N154/1000*H233</f>
        <v>0</v>
      </c>
    </row>
    <row r="234" spans="4:11" s="65" customFormat="1" ht="12.75">
      <c r="D234" s="65" t="s">
        <v>211</v>
      </c>
      <c r="K234" s="69"/>
    </row>
    <row r="235" spans="4:11" s="65" customFormat="1" ht="12.75">
      <c r="D235" s="65" t="s">
        <v>191</v>
      </c>
      <c r="K235" s="69"/>
    </row>
    <row r="236" spans="4:11" s="65" customFormat="1" ht="12.75">
      <c r="D236" s="65" t="s">
        <v>192</v>
      </c>
      <c r="K236" s="69"/>
    </row>
    <row r="237" spans="4:11" s="65" customFormat="1" ht="12.75">
      <c r="D237" s="65" t="s">
        <v>158</v>
      </c>
      <c r="K237" s="69">
        <f>N137/1000*H237</f>
        <v>0</v>
      </c>
    </row>
    <row r="238" spans="4:11" s="65" customFormat="1" ht="12.75">
      <c r="D238" s="65" t="s">
        <v>196</v>
      </c>
      <c r="H238" s="65">
        <v>0.0018</v>
      </c>
      <c r="I238" s="65">
        <v>0</v>
      </c>
      <c r="K238" s="69">
        <f>N138/1000*H238</f>
        <v>0</v>
      </c>
    </row>
    <row r="239" spans="4:11" s="65" customFormat="1" ht="12.75">
      <c r="D239" s="65" t="s">
        <v>198</v>
      </c>
      <c r="H239" s="65">
        <v>0.00198</v>
      </c>
      <c r="I239" s="65">
        <v>0</v>
      </c>
      <c r="K239" s="69">
        <f>N139/1000*H239</f>
        <v>0.014816538</v>
      </c>
    </row>
    <row r="240" spans="5:11" s="65" customFormat="1" ht="12.75">
      <c r="E240" s="65" t="s">
        <v>201</v>
      </c>
      <c r="G240" s="65">
        <v>0</v>
      </c>
      <c r="I240" s="65">
        <v>0</v>
      </c>
      <c r="K240" s="69"/>
    </row>
    <row r="241" s="65" customFormat="1" ht="12.75">
      <c r="K241" s="69"/>
    </row>
    <row r="242" spans="2:7" s="65" customFormat="1" ht="12.75">
      <c r="B242" s="65" t="s">
        <v>224</v>
      </c>
      <c r="D242" s="65" t="s">
        <v>203</v>
      </c>
      <c r="G242" s="65" t="s">
        <v>225</v>
      </c>
    </row>
    <row r="243" spans="4:7" s="65" customFormat="1" ht="12.75">
      <c r="D243" s="65" t="s">
        <v>204</v>
      </c>
      <c r="G243" s="65" t="s">
        <v>226</v>
      </c>
    </row>
    <row r="244" spans="4:7" s="65" customFormat="1" ht="12.75">
      <c r="D244" s="65" t="s">
        <v>205</v>
      </c>
      <c r="G244" s="65" t="s">
        <v>227</v>
      </c>
    </row>
    <row r="245" s="65" customFormat="1" ht="12.75">
      <c r="D245" s="65" t="s">
        <v>191</v>
      </c>
    </row>
    <row r="246" spans="4:11" s="65" customFormat="1" ht="12.75">
      <c r="D246" s="65" t="s">
        <v>158</v>
      </c>
      <c r="H246" s="65">
        <v>0.02367</v>
      </c>
      <c r="K246" s="69">
        <f>N147/1000*H246</f>
        <v>0</v>
      </c>
    </row>
    <row r="247" spans="4:11" s="65" customFormat="1" ht="12.75">
      <c r="D247" s="65" t="s">
        <v>196</v>
      </c>
      <c r="H247" s="65">
        <v>0.0263</v>
      </c>
      <c r="K247" s="69">
        <f>N148/1000*H247</f>
        <v>0</v>
      </c>
    </row>
    <row r="248" spans="4:11" s="65" customFormat="1" ht="12.75">
      <c r="D248" s="65" t="s">
        <v>198</v>
      </c>
      <c r="H248" s="65">
        <v>0.02893</v>
      </c>
      <c r="K248" s="69">
        <f>N149/1000*H248</f>
        <v>0.029517279</v>
      </c>
    </row>
    <row r="249" s="65" customFormat="1" ht="12.75">
      <c r="K249" s="69"/>
    </row>
    <row r="250" spans="1:11" s="65" customFormat="1" ht="12.75">
      <c r="A250" s="65" t="s">
        <v>228</v>
      </c>
      <c r="B250" s="65" t="s">
        <v>229</v>
      </c>
      <c r="D250" s="65" t="s">
        <v>203</v>
      </c>
      <c r="K250" s="69"/>
    </row>
    <row r="251" spans="2:11" s="65" customFormat="1" ht="12.75">
      <c r="B251" s="65" t="s">
        <v>230</v>
      </c>
      <c r="D251" s="65" t="s">
        <v>209</v>
      </c>
      <c r="K251" s="69"/>
    </row>
    <row r="252" spans="4:11" s="65" customFormat="1" ht="12.75">
      <c r="D252" s="65" t="s">
        <v>191</v>
      </c>
      <c r="K252" s="69"/>
    </row>
    <row r="253" spans="4:11" s="65" customFormat="1" ht="12.75">
      <c r="D253" s="65" t="s">
        <v>158</v>
      </c>
      <c r="H253" s="65">
        <v>0.014679</v>
      </c>
      <c r="I253" s="65">
        <v>0</v>
      </c>
      <c r="K253" s="69">
        <f>N152/1000*H253</f>
        <v>0</v>
      </c>
    </row>
    <row r="254" spans="4:11" s="65" customFormat="1" ht="12.75">
      <c r="D254" s="65" t="s">
        <v>196</v>
      </c>
      <c r="H254" s="65">
        <v>0.01631</v>
      </c>
      <c r="I254" s="65">
        <v>0</v>
      </c>
      <c r="K254" s="69">
        <f>N153/1000*H254</f>
        <v>0</v>
      </c>
    </row>
    <row r="255" spans="4:11" s="65" customFormat="1" ht="12.75">
      <c r="D255" s="65" t="s">
        <v>198</v>
      </c>
      <c r="K255" s="69">
        <f>N154/1000*H255</f>
        <v>0</v>
      </c>
    </row>
    <row r="256" spans="4:11" s="65" customFormat="1" ht="12.75">
      <c r="D256" s="65" t="s">
        <v>211</v>
      </c>
      <c r="K256" s="69"/>
    </row>
    <row r="257" spans="4:11" s="65" customFormat="1" ht="12.75">
      <c r="D257" s="65" t="s">
        <v>191</v>
      </c>
      <c r="K257" s="69"/>
    </row>
    <row r="258" spans="4:11" s="65" customFormat="1" ht="12.75">
      <c r="D258" s="65" t="s">
        <v>192</v>
      </c>
      <c r="K258" s="69"/>
    </row>
    <row r="259" spans="4:11" s="65" customFormat="1" ht="12.75">
      <c r="D259" s="65" t="s">
        <v>158</v>
      </c>
      <c r="K259" s="69">
        <f>N137/1000*H259</f>
        <v>0</v>
      </c>
    </row>
    <row r="260" spans="4:11" s="65" customFormat="1" ht="12.75">
      <c r="D260" s="65" t="s">
        <v>196</v>
      </c>
      <c r="H260" s="65">
        <v>0.01631</v>
      </c>
      <c r="I260" s="65">
        <v>0</v>
      </c>
      <c r="K260" s="69">
        <f>N138/1000*H260</f>
        <v>0</v>
      </c>
    </row>
    <row r="261" spans="4:11" s="65" customFormat="1" ht="12.75">
      <c r="D261" s="65" t="s">
        <v>198</v>
      </c>
      <c r="H261" s="65">
        <v>0.017941</v>
      </c>
      <c r="I261" s="65">
        <v>0</v>
      </c>
      <c r="K261" s="69">
        <f>N139/1000*H261</f>
        <v>0.1342542971</v>
      </c>
    </row>
    <row r="262" spans="5:11" s="65" customFormat="1" ht="12.75">
      <c r="E262" s="65" t="s">
        <v>201</v>
      </c>
      <c r="G262" s="65">
        <v>0</v>
      </c>
      <c r="I262" s="65">
        <v>0</v>
      </c>
      <c r="K262" s="69"/>
    </row>
    <row r="263" s="65" customFormat="1" ht="12.75">
      <c r="K263" s="69"/>
    </row>
    <row r="264" spans="1:11" s="65" customFormat="1" ht="12.75">
      <c r="A264" s="65" t="s">
        <v>231</v>
      </c>
      <c r="B264" s="65" t="s">
        <v>232</v>
      </c>
      <c r="D264" s="65" t="s">
        <v>203</v>
      </c>
      <c r="K264" s="69"/>
    </row>
    <row r="265" spans="2:11" s="65" customFormat="1" ht="12.75">
      <c r="B265" s="65" t="s">
        <v>233</v>
      </c>
      <c r="D265" s="65" t="s">
        <v>211</v>
      </c>
      <c r="K265" s="69"/>
    </row>
    <row r="266" spans="4:11" s="65" customFormat="1" ht="12.75">
      <c r="D266" s="65" t="s">
        <v>209</v>
      </c>
      <c r="K266" s="69"/>
    </row>
    <row r="267" spans="4:11" s="65" customFormat="1" ht="12.75">
      <c r="D267" s="65" t="s">
        <v>234</v>
      </c>
      <c r="K267" s="69"/>
    </row>
    <row r="268" spans="4:11" s="65" customFormat="1" ht="12.75">
      <c r="D268" s="65" t="s">
        <v>235</v>
      </c>
      <c r="F268" s="65" t="s">
        <v>236</v>
      </c>
      <c r="K268" s="69"/>
    </row>
    <row r="269" spans="4:11" s="65" customFormat="1" ht="12.75">
      <c r="D269" s="65" t="s">
        <v>191</v>
      </c>
      <c r="F269" s="65" t="s">
        <v>237</v>
      </c>
      <c r="K269" s="69"/>
    </row>
    <row r="270" spans="4:11" s="65" customFormat="1" ht="12.75">
      <c r="D270" s="65" t="s">
        <v>158</v>
      </c>
      <c r="H270" s="65">
        <v>41000</v>
      </c>
      <c r="I270" s="65">
        <v>0</v>
      </c>
      <c r="K270" s="69">
        <f>N165/H270</f>
        <v>0</v>
      </c>
    </row>
    <row r="271" spans="4:11" s="65" customFormat="1" ht="12.75">
      <c r="D271" s="65" t="s">
        <v>196</v>
      </c>
      <c r="H271" s="65">
        <v>39000</v>
      </c>
      <c r="I271" s="65">
        <v>0</v>
      </c>
      <c r="K271" s="69">
        <f>N166/H271</f>
        <v>0</v>
      </c>
    </row>
    <row r="272" spans="4:11" s="65" customFormat="1" ht="12.75">
      <c r="D272" s="65" t="s">
        <v>198</v>
      </c>
      <c r="H272" s="65">
        <v>37000</v>
      </c>
      <c r="I272" s="65">
        <v>0</v>
      </c>
      <c r="K272" s="69">
        <f>N167/H272</f>
        <v>0.20224594594594594</v>
      </c>
    </row>
    <row r="273" s="65" customFormat="1" ht="12.75">
      <c r="K273" s="69"/>
    </row>
    <row r="274" spans="4:11" s="65" customFormat="1" ht="12.75">
      <c r="D274" s="65" t="s">
        <v>238</v>
      </c>
      <c r="K274" s="69"/>
    </row>
    <row r="275" spans="4:11" s="65" customFormat="1" ht="12.75">
      <c r="D275" s="65" t="s">
        <v>239</v>
      </c>
      <c r="F275" s="65" t="s">
        <v>240</v>
      </c>
      <c r="K275" s="69"/>
    </row>
    <row r="276" spans="4:11" s="65" customFormat="1" ht="12.75">
      <c r="D276" s="65" t="s">
        <v>191</v>
      </c>
      <c r="K276" s="69"/>
    </row>
    <row r="277" spans="4:11" s="65" customFormat="1" ht="12.75">
      <c r="D277" s="65" t="s">
        <v>158</v>
      </c>
      <c r="H277" s="65">
        <v>450</v>
      </c>
      <c r="I277" s="65">
        <v>0</v>
      </c>
      <c r="K277" s="69">
        <f>N170/H277</f>
        <v>0</v>
      </c>
    </row>
    <row r="278" spans="4:11" s="65" customFormat="1" ht="12.75">
      <c r="D278" s="65" t="s">
        <v>196</v>
      </c>
      <c r="H278" s="65">
        <v>375</v>
      </c>
      <c r="I278" s="65">
        <v>0</v>
      </c>
      <c r="K278" s="69">
        <f>N171/H278</f>
        <v>0</v>
      </c>
    </row>
    <row r="279" spans="4:11" s="65" customFormat="1" ht="12.75">
      <c r="D279" s="65" t="s">
        <v>198</v>
      </c>
      <c r="H279" s="65">
        <v>310</v>
      </c>
      <c r="I279" s="65">
        <v>0</v>
      </c>
      <c r="K279" s="69">
        <f>N172/H279</f>
        <v>1.229032258064516</v>
      </c>
    </row>
    <row r="280" spans="5:11" s="65" customFormat="1" ht="12.75">
      <c r="E280" s="65" t="s">
        <v>201</v>
      </c>
      <c r="G280" s="65">
        <v>0</v>
      </c>
      <c r="I280" s="65">
        <v>0</v>
      </c>
      <c r="K280" s="69"/>
    </row>
    <row r="281" s="65" customFormat="1" ht="12.75">
      <c r="K281" s="69"/>
    </row>
    <row r="282" spans="1:11" s="65" customFormat="1" ht="12.75">
      <c r="A282" s="65" t="s">
        <v>241</v>
      </c>
      <c r="B282" s="65" t="s">
        <v>242</v>
      </c>
      <c r="D282" s="65" t="s">
        <v>243</v>
      </c>
      <c r="K282" s="69"/>
    </row>
    <row r="283" spans="4:11" s="65" customFormat="1" ht="12.75">
      <c r="D283" s="65" t="s">
        <v>244</v>
      </c>
      <c r="F283" s="65" t="s">
        <v>240</v>
      </c>
      <c r="K283" s="69"/>
    </row>
    <row r="284" spans="4:11" s="65" customFormat="1" ht="12.75">
      <c r="D284" s="65" t="s">
        <v>245</v>
      </c>
      <c r="K284" s="69"/>
    </row>
    <row r="285" spans="4:11" s="65" customFormat="1" ht="12.75">
      <c r="D285" s="65" t="s">
        <v>158</v>
      </c>
      <c r="H285" s="65">
        <v>2350</v>
      </c>
      <c r="I285" s="65">
        <v>0</v>
      </c>
      <c r="K285" s="69">
        <f>N170/H285</f>
        <v>0</v>
      </c>
    </row>
    <row r="286" spans="4:11" s="65" customFormat="1" ht="12.75">
      <c r="D286" s="65" t="s">
        <v>196</v>
      </c>
      <c r="H286" s="65">
        <v>2250</v>
      </c>
      <c r="I286" s="65">
        <v>0</v>
      </c>
      <c r="K286" s="69">
        <f>N171/H286</f>
        <v>0</v>
      </c>
    </row>
    <row r="287" spans="4:11" s="65" customFormat="1" ht="12.75">
      <c r="D287" s="65" t="s">
        <v>198</v>
      </c>
      <c r="H287" s="65">
        <v>2200</v>
      </c>
      <c r="I287" s="65">
        <v>0</v>
      </c>
      <c r="K287" s="69">
        <f>N172/H287</f>
        <v>0.1731818181818182</v>
      </c>
    </row>
    <row r="288" spans="5:11" s="65" customFormat="1" ht="12.75">
      <c r="E288" s="65" t="s">
        <v>201</v>
      </c>
      <c r="G288" s="65">
        <v>0</v>
      </c>
      <c r="I288" s="65">
        <v>0</v>
      </c>
      <c r="K288" s="69"/>
    </row>
    <row r="289" s="65" customFormat="1" ht="12.75">
      <c r="K289" s="69">
        <f>K151+K152+K153+K161+K162+K163+K168+K169+K170+K174+K175+K176+K182+K183+K184+K188+K189+K190+K196+K197+K198+K202+K203+K204+K210+K211+K212+K216+K217+K218+K225+K226+K227+K231+K232+K233+K237+K238+K239+K246+K247+K248+K253+K254+K255+K259+K260+K261+K270+K271+K272+K277+K278+K279+K285+K286+K287</f>
        <v>2.5196211414922804</v>
      </c>
    </row>
    <row r="290" spans="1:11" s="65" customFormat="1" ht="12.75">
      <c r="A290" s="65" t="s">
        <v>246</v>
      </c>
      <c r="B290" s="65" t="s">
        <v>247</v>
      </c>
      <c r="F290" s="65" t="s">
        <v>248</v>
      </c>
      <c r="I290" s="65">
        <v>1</v>
      </c>
      <c r="K290" s="69">
        <f>K289*1.12</f>
        <v>2.8219756784713543</v>
      </c>
    </row>
    <row r="291" s="65" customFormat="1" ht="12.75">
      <c r="B291" s="65" t="s">
        <v>249</v>
      </c>
    </row>
    <row r="292" s="65" customFormat="1" ht="12.75">
      <c r="B292" s="65" t="s">
        <v>250</v>
      </c>
    </row>
    <row r="293" s="65" customFormat="1" ht="12.75"/>
    <row r="294" spans="1:9" s="65" customFormat="1" ht="12.75">
      <c r="A294" s="65" t="s">
        <v>251</v>
      </c>
      <c r="B294" s="65" t="s">
        <v>252</v>
      </c>
      <c r="I294" s="65">
        <v>2</v>
      </c>
    </row>
    <row r="295" spans="1:9" s="65" customFormat="1" ht="12.75">
      <c r="A295" s="65" t="s">
        <v>253</v>
      </c>
      <c r="B295" s="65" t="s">
        <v>254</v>
      </c>
      <c r="I295" s="65">
        <v>1</v>
      </c>
    </row>
    <row r="296" spans="1:9" s="65" customFormat="1" ht="12.75">
      <c r="A296" s="65" t="s">
        <v>255</v>
      </c>
      <c r="B296" s="65" t="s">
        <v>256</v>
      </c>
      <c r="I296" s="65">
        <v>1</v>
      </c>
    </row>
    <row r="297" spans="2:9" s="65" customFormat="1" ht="12.75">
      <c r="B297" s="65" t="s">
        <v>257</v>
      </c>
      <c r="I297" s="65">
        <v>5</v>
      </c>
    </row>
    <row r="298" s="65" customFormat="1" ht="12.75">
      <c r="F298" s="65" t="s">
        <v>258</v>
      </c>
    </row>
    <row r="299" spans="1:9" s="65" customFormat="1" ht="12.75">
      <c r="A299" s="65" t="s">
        <v>259</v>
      </c>
      <c r="B299" s="65" t="s">
        <v>260</v>
      </c>
      <c r="E299" s="65" t="s">
        <v>261</v>
      </c>
      <c r="H299" s="65">
        <v>1200</v>
      </c>
      <c r="I299" s="78">
        <f>G299/H299</f>
        <v>0</v>
      </c>
    </row>
    <row r="300" spans="5:9" s="65" customFormat="1" ht="12.75">
      <c r="E300" s="65" t="s">
        <v>262</v>
      </c>
      <c r="G300" s="65">
        <v>688</v>
      </c>
      <c r="H300" s="65">
        <v>1650</v>
      </c>
      <c r="I300" s="78">
        <f>G300/H300</f>
        <v>0.416969696969697</v>
      </c>
    </row>
    <row r="301" spans="5:9" s="65" customFormat="1" ht="12.75">
      <c r="E301" s="65" t="s">
        <v>263</v>
      </c>
      <c r="G301" s="65">
        <v>3097</v>
      </c>
      <c r="H301" s="65">
        <v>9000</v>
      </c>
      <c r="I301" s="78">
        <f>G301/H301</f>
        <v>0.3441111111111111</v>
      </c>
    </row>
    <row r="302" spans="3:9" s="65" customFormat="1" ht="12.75">
      <c r="C302" s="65" t="s">
        <v>201</v>
      </c>
      <c r="G302" s="65">
        <f>G299+G301</f>
        <v>3097</v>
      </c>
      <c r="I302" s="78">
        <f>I299+I300+I301</f>
        <v>0.761080808080808</v>
      </c>
    </row>
    <row r="303" spans="6:9" s="65" customFormat="1" ht="12.75">
      <c r="F303" s="65" t="s">
        <v>258</v>
      </c>
      <c r="I303" s="78"/>
    </row>
    <row r="304" spans="1:9" s="65" customFormat="1" ht="12.75">
      <c r="A304" s="65" t="s">
        <v>264</v>
      </c>
      <c r="B304" s="65" t="s">
        <v>265</v>
      </c>
      <c r="E304" s="65" t="s">
        <v>266</v>
      </c>
      <c r="H304" s="65">
        <v>800</v>
      </c>
      <c r="I304" s="78">
        <f>G304/H304</f>
        <v>0</v>
      </c>
    </row>
    <row r="305" spans="2:9" s="65" customFormat="1" ht="12.75">
      <c r="B305" s="65" t="s">
        <v>267</v>
      </c>
      <c r="E305" s="65" t="s">
        <v>268</v>
      </c>
      <c r="G305" s="65">
        <v>469.8</v>
      </c>
      <c r="H305" s="65">
        <v>960</v>
      </c>
      <c r="I305" s="78">
        <f>G305/H305</f>
        <v>0.489375</v>
      </c>
    </row>
    <row r="306" spans="5:9" s="65" customFormat="1" ht="12.75">
      <c r="E306" s="65" t="s">
        <v>269</v>
      </c>
      <c r="I306" s="78"/>
    </row>
    <row r="307" spans="3:9" s="65" customFormat="1" ht="12.75">
      <c r="C307" s="65" t="s">
        <v>201</v>
      </c>
      <c r="G307" s="65">
        <f>G304+G305+G306</f>
        <v>469.8</v>
      </c>
      <c r="I307" s="78">
        <f>I304+I305</f>
        <v>0.489375</v>
      </c>
    </row>
    <row r="308" spans="6:9" s="65" customFormat="1" ht="12.75">
      <c r="F308" s="65" t="s">
        <v>270</v>
      </c>
      <c r="I308" s="78"/>
    </row>
    <row r="309" spans="1:9" s="65" customFormat="1" ht="12.75">
      <c r="A309" s="65" t="s">
        <v>271</v>
      </c>
      <c r="B309" s="65" t="s">
        <v>272</v>
      </c>
      <c r="E309" s="65" t="s">
        <v>273</v>
      </c>
      <c r="H309" s="65">
        <v>500</v>
      </c>
      <c r="I309" s="78">
        <f>G309/H309</f>
        <v>0</v>
      </c>
    </row>
    <row r="310" spans="5:9" s="65" customFormat="1" ht="12.75">
      <c r="E310" s="65" t="s">
        <v>274</v>
      </c>
      <c r="G310" s="65">
        <v>282</v>
      </c>
      <c r="H310" s="65">
        <v>700</v>
      </c>
      <c r="I310" s="78">
        <f>G310/H310</f>
        <v>0.40285714285714286</v>
      </c>
    </row>
    <row r="311" spans="5:9" s="65" customFormat="1" ht="12.75">
      <c r="E311" s="65" t="s">
        <v>275</v>
      </c>
      <c r="I311" s="78"/>
    </row>
    <row r="312" spans="3:9" s="65" customFormat="1" ht="12.75">
      <c r="C312" s="65" t="s">
        <v>201</v>
      </c>
      <c r="G312" s="65">
        <v>0</v>
      </c>
      <c r="I312" s="78">
        <f>I309+I310</f>
        <v>0.40285714285714286</v>
      </c>
    </row>
    <row r="313" spans="1:2" s="65" customFormat="1" ht="12.75">
      <c r="A313" s="65" t="s">
        <v>276</v>
      </c>
      <c r="B313" s="65" t="s">
        <v>277</v>
      </c>
    </row>
    <row r="314" spans="2:9" s="65" customFormat="1" ht="12.75">
      <c r="B314" s="65" t="s">
        <v>278</v>
      </c>
      <c r="I314" s="65">
        <v>2</v>
      </c>
    </row>
  </sheetData>
  <sheetProtection/>
  <mergeCells count="50">
    <mergeCell ref="A121:D121"/>
    <mergeCell ref="C102:I102"/>
    <mergeCell ref="A111:G111"/>
    <mergeCell ref="A115:E115"/>
    <mergeCell ref="A117:G117"/>
    <mergeCell ref="A78:G78"/>
    <mergeCell ref="A79:D79"/>
    <mergeCell ref="E79:G79"/>
    <mergeCell ref="A80:E80"/>
    <mergeCell ref="A64:G64"/>
    <mergeCell ref="A66:D66"/>
    <mergeCell ref="A67:F67"/>
    <mergeCell ref="A70:E70"/>
    <mergeCell ref="C74:D74"/>
    <mergeCell ref="A77:F77"/>
    <mergeCell ref="A50:G50"/>
    <mergeCell ref="A51:G51"/>
    <mergeCell ref="A57:F57"/>
    <mergeCell ref="A61:G61"/>
    <mergeCell ref="A62:E62"/>
    <mergeCell ref="A63:G63"/>
    <mergeCell ref="A41:G41"/>
    <mergeCell ref="A42:G42"/>
    <mergeCell ref="A43:F43"/>
    <mergeCell ref="A44:F44"/>
    <mergeCell ref="A48:F48"/>
    <mergeCell ref="A49:F49"/>
    <mergeCell ref="A35:G35"/>
    <mergeCell ref="A36:G36"/>
    <mergeCell ref="A37:D37"/>
    <mergeCell ref="A38:G38"/>
    <mergeCell ref="A39:G39"/>
    <mergeCell ref="A40:G40"/>
    <mergeCell ref="A27:G27"/>
    <mergeCell ref="A28:G28"/>
    <mergeCell ref="A30:E30"/>
    <mergeCell ref="A32:G32"/>
    <mergeCell ref="A33:G33"/>
    <mergeCell ref="A34:G34"/>
    <mergeCell ref="A18:F18"/>
    <mergeCell ref="A19:F19"/>
    <mergeCell ref="A20:F20"/>
    <mergeCell ref="A24:F24"/>
    <mergeCell ref="A25:G25"/>
    <mergeCell ref="A26:G26"/>
    <mergeCell ref="A1:K1"/>
    <mergeCell ref="A2:K2"/>
    <mergeCell ref="A4:K5"/>
    <mergeCell ref="A6:K6"/>
    <mergeCell ref="A14:G14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1:L12 N82:N83 L83 H111 H117 H125 K111" evalError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P34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42187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6" width="9.140625" style="65" customWidth="1"/>
    <col min="17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>
      <c r="A4" s="127" t="s">
        <v>447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4.25">
      <c r="A5" s="129" t="s">
        <v>538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3" ht="14.25">
      <c r="A6" s="14" t="s">
        <v>539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M6" s="65">
        <f>11.07*1.042</f>
        <v>11.53494</v>
      </c>
    </row>
    <row r="7" spans="1:13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M7" s="65">
        <f>M6*0.04</f>
        <v>0.4613976</v>
      </c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68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6" s="9" customFormat="1" ht="15.75">
      <c r="A10" s="11"/>
      <c r="B10" s="11"/>
      <c r="C10" s="12"/>
      <c r="D10" s="11"/>
      <c r="K10" s="5"/>
      <c r="L10" s="67">
        <f>E13</f>
        <v>93612.80068000001</v>
      </c>
      <c r="M10" s="67"/>
      <c r="N10" s="67"/>
      <c r="O10" s="67"/>
      <c r="P10" s="67"/>
    </row>
    <row r="11" spans="1:16" s="9" customFormat="1" ht="15.75">
      <c r="A11" s="11" t="s">
        <v>69</v>
      </c>
      <c r="B11" s="11"/>
      <c r="C11" s="12"/>
      <c r="D11" s="11"/>
      <c r="E11" s="9">
        <f>77402.86*1.042</f>
        <v>80653.78012000001</v>
      </c>
      <c r="F11" s="9" t="s">
        <v>70</v>
      </c>
      <c r="H11" s="13"/>
      <c r="I11" s="13"/>
      <c r="K11" s="13"/>
      <c r="L11" s="92">
        <f>(K18+K33+K60+K71+K96+K106)</f>
        <v>88716.502676016</v>
      </c>
      <c r="M11" s="67"/>
      <c r="N11" s="67"/>
      <c r="O11" s="67"/>
      <c r="P11" s="67"/>
    </row>
    <row r="12" spans="1:16" s="9" customFormat="1" ht="15.75">
      <c r="A12" s="11" t="s">
        <v>420</v>
      </c>
      <c r="B12" s="11"/>
      <c r="C12" s="12"/>
      <c r="D12" s="11"/>
      <c r="E12" s="9">
        <f>12436.68*1.042</f>
        <v>12959.02056</v>
      </c>
      <c r="F12" s="9" t="s">
        <v>70</v>
      </c>
      <c r="H12" s="13"/>
      <c r="I12" s="13"/>
      <c r="K12" s="13"/>
      <c r="L12" s="67">
        <f>(L10-L11)*15%</f>
        <v>734.4447005976027</v>
      </c>
      <c r="M12" s="67"/>
      <c r="N12" s="67"/>
      <c r="O12" s="67"/>
      <c r="P12" s="67"/>
    </row>
    <row r="13" spans="1:16" s="9" customFormat="1" ht="15.75">
      <c r="A13" s="11" t="s">
        <v>421</v>
      </c>
      <c r="B13" s="11"/>
      <c r="C13" s="12"/>
      <c r="D13" s="11"/>
      <c r="E13" s="9">
        <f>E11+E12</f>
        <v>93612.80068000001</v>
      </c>
      <c r="F13" s="9" t="s">
        <v>70</v>
      </c>
      <c r="H13" s="13"/>
      <c r="I13" s="13"/>
      <c r="K13" s="13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K18+K33+K71+K96+K106+K121+K60</f>
        <v>88883.967176016</v>
      </c>
      <c r="L15" s="68"/>
      <c r="M15" s="65" t="s">
        <v>309</v>
      </c>
    </row>
    <row r="16" spans="1:11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</row>
    <row r="17" spans="1:13" ht="15.75">
      <c r="A17" s="15"/>
      <c r="B17" s="15"/>
      <c r="C17" s="19"/>
      <c r="D17" s="15"/>
      <c r="E17" s="15"/>
      <c r="F17" s="15"/>
      <c r="G17" s="15"/>
      <c r="H17" s="15"/>
      <c r="I17" s="15"/>
      <c r="J17" s="15"/>
      <c r="K17" s="18"/>
      <c r="L17" s="69"/>
      <c r="M17" s="65" t="s">
        <v>310</v>
      </c>
    </row>
    <row r="18" spans="1:15" ht="15.75">
      <c r="A18" s="20" t="s">
        <v>147</v>
      </c>
      <c r="B18" s="20"/>
      <c r="C18" s="20"/>
      <c r="D18" s="20"/>
      <c r="E18" s="20"/>
      <c r="F18" s="20"/>
      <c r="G18" s="20"/>
      <c r="H18" s="20"/>
      <c r="I18" s="21"/>
      <c r="J18" s="20"/>
      <c r="K18" s="21">
        <f>H20+H21+H22+H24+H26+H27+H28+H29+H30+H31</f>
        <v>7759.265101580625</v>
      </c>
      <c r="M18" s="65" t="s">
        <v>76</v>
      </c>
      <c r="O18" s="78">
        <f>I334</f>
        <v>0.8915555555555554</v>
      </c>
    </row>
    <row r="19" spans="1:15" ht="12.75">
      <c r="A19" s="22" t="s">
        <v>77</v>
      </c>
      <c r="B19" s="22"/>
      <c r="C19" s="22"/>
      <c r="D19" s="22"/>
      <c r="E19" s="22"/>
      <c r="F19" s="22"/>
      <c r="G19" s="22"/>
      <c r="H19" s="22"/>
      <c r="I19" s="22"/>
      <c r="J19" s="22">
        <v>2972395.8</v>
      </c>
      <c r="K19" s="23"/>
      <c r="M19" s="65" t="s">
        <v>78</v>
      </c>
      <c r="O19" s="78">
        <f>I339</f>
        <v>0.6655208333333333</v>
      </c>
    </row>
    <row r="20" spans="1:15" ht="12.75">
      <c r="A20" s="113" t="s">
        <v>540</v>
      </c>
      <c r="B20" s="113"/>
      <c r="C20" s="113"/>
      <c r="D20" s="113"/>
      <c r="E20" s="113"/>
      <c r="F20" s="113"/>
      <c r="G20" s="22"/>
      <c r="H20" s="23">
        <f>O18*2600*1.5*1.07</f>
        <v>3720.4613333333336</v>
      </c>
      <c r="I20" s="22"/>
      <c r="J20" s="22"/>
      <c r="K20" s="23"/>
      <c r="M20" s="65" t="s">
        <v>80</v>
      </c>
      <c r="O20" s="78">
        <f>I344</f>
        <v>0</v>
      </c>
    </row>
    <row r="21" spans="1:15" ht="12.75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314</v>
      </c>
      <c r="O21" s="65">
        <v>8169</v>
      </c>
    </row>
    <row r="22" spans="1:15" ht="12.75">
      <c r="A22" s="113" t="s">
        <v>541</v>
      </c>
      <c r="B22" s="113"/>
      <c r="C22" s="113"/>
      <c r="D22" s="113"/>
      <c r="E22" s="113"/>
      <c r="F22" s="113"/>
      <c r="G22" s="22"/>
      <c r="H22" s="23">
        <f>O19*2203*1.3*1.07</f>
        <v>2039.404072604167</v>
      </c>
      <c r="I22" s="22"/>
      <c r="J22" s="22"/>
      <c r="K22" s="23"/>
      <c r="M22" s="65" t="s">
        <v>83</v>
      </c>
      <c r="O22" s="65">
        <v>387</v>
      </c>
    </row>
    <row r="23" spans="1:13" ht="12.75">
      <c r="A23" s="22"/>
      <c r="B23" s="22"/>
      <c r="C23" s="22"/>
      <c r="D23" s="22"/>
      <c r="E23" s="22"/>
      <c r="F23" s="22"/>
      <c r="G23" s="22"/>
      <c r="H23" s="23"/>
      <c r="I23" s="22"/>
      <c r="J23" s="22"/>
      <c r="M23" s="65" t="s">
        <v>316</v>
      </c>
    </row>
    <row r="24" spans="1:16" ht="12.75">
      <c r="A24" s="23">
        <f>H20+H21+H22</f>
        <v>5759.8654059375</v>
      </c>
      <c r="B24" s="22" t="s">
        <v>84</v>
      </c>
      <c r="C24" s="22"/>
      <c r="D24" s="22"/>
      <c r="E24" s="22"/>
      <c r="F24" s="22"/>
      <c r="G24" s="22"/>
      <c r="H24" s="23">
        <f>(H20+H21+H22)*14.2%</f>
        <v>817.900887643125</v>
      </c>
      <c r="I24" s="22"/>
      <c r="J24" s="22">
        <v>781740.1</v>
      </c>
      <c r="K24" s="25"/>
      <c r="L24" s="70"/>
      <c r="M24" s="65" t="s">
        <v>85</v>
      </c>
      <c r="P24" s="65">
        <f>O24/2</f>
        <v>0</v>
      </c>
    </row>
    <row r="25" spans="1:16" ht="12.75">
      <c r="A25" s="22" t="s">
        <v>86</v>
      </c>
      <c r="B25" s="22"/>
      <c r="C25" s="22"/>
      <c r="D25" s="22"/>
      <c r="E25" s="22"/>
      <c r="F25" s="22"/>
      <c r="G25" s="22"/>
      <c r="H25" s="23"/>
      <c r="I25" s="22"/>
      <c r="J25" s="22">
        <v>113966.82</v>
      </c>
      <c r="K25" s="23"/>
      <c r="N25" s="65">
        <v>9</v>
      </c>
      <c r="P25" s="65">
        <f>O25/2</f>
        <v>0</v>
      </c>
    </row>
    <row r="26" spans="1:16" ht="12.75">
      <c r="A26" s="113" t="s">
        <v>542</v>
      </c>
      <c r="B26" s="113"/>
      <c r="C26" s="113"/>
      <c r="D26" s="113"/>
      <c r="E26" s="113"/>
      <c r="F26" s="113"/>
      <c r="G26" s="22"/>
      <c r="H26" s="23">
        <f>O21*0.057</f>
        <v>465.63300000000004</v>
      </c>
      <c r="I26" s="23"/>
      <c r="J26" s="22"/>
      <c r="K26" s="23"/>
      <c r="N26" s="65">
        <v>10</v>
      </c>
      <c r="P26" s="65">
        <f>O26/2</f>
        <v>0</v>
      </c>
    </row>
    <row r="27" spans="1:11" ht="12.75">
      <c r="A27" s="113"/>
      <c r="B27" s="113"/>
      <c r="C27" s="113"/>
      <c r="D27" s="113"/>
      <c r="E27" s="113"/>
      <c r="F27" s="113"/>
      <c r="G27" s="113"/>
      <c r="H27" s="23"/>
      <c r="I27" s="23"/>
      <c r="J27" s="22"/>
      <c r="K27" s="23"/>
    </row>
    <row r="28" spans="1:15" ht="12.75">
      <c r="A28" s="113" t="s">
        <v>543</v>
      </c>
      <c r="B28" s="113"/>
      <c r="C28" s="113"/>
      <c r="D28" s="113"/>
      <c r="E28" s="113"/>
      <c r="F28" s="113"/>
      <c r="G28" s="113"/>
      <c r="H28" s="23">
        <f>0.0085*O21</f>
        <v>69.43650000000001</v>
      </c>
      <c r="I28" s="23"/>
      <c r="J28" s="22"/>
      <c r="K28" s="23"/>
      <c r="N28" s="65">
        <v>16</v>
      </c>
      <c r="O28" s="65">
        <v>4</v>
      </c>
    </row>
    <row r="29" spans="1:13" ht="12.75">
      <c r="A29" s="113" t="s">
        <v>544</v>
      </c>
      <c r="B29" s="113"/>
      <c r="C29" s="113"/>
      <c r="D29" s="113"/>
      <c r="E29" s="113"/>
      <c r="F29" s="113"/>
      <c r="G29" s="113"/>
      <c r="H29" s="23">
        <f>O21*0.005</f>
        <v>40.845</v>
      </c>
      <c r="I29" s="22"/>
      <c r="J29" s="22"/>
      <c r="K29" s="23"/>
      <c r="M29" s="65" t="s">
        <v>90</v>
      </c>
    </row>
    <row r="30" spans="1:15" ht="12.75">
      <c r="A30" s="113" t="s">
        <v>545</v>
      </c>
      <c r="B30" s="113"/>
      <c r="C30" s="113"/>
      <c r="D30" s="113"/>
      <c r="E30" s="113"/>
      <c r="F30" s="113"/>
      <c r="G30" s="113"/>
      <c r="H30" s="23">
        <f>O21*0.017</f>
        <v>138.87300000000002</v>
      </c>
      <c r="I30" s="22"/>
      <c r="J30" s="22">
        <v>13606.82</v>
      </c>
      <c r="K30" s="23"/>
      <c r="M30" s="65" t="s">
        <v>92</v>
      </c>
      <c r="O30" s="65">
        <v>24</v>
      </c>
    </row>
    <row r="31" spans="1:15" ht="12.75">
      <c r="A31" s="113" t="s">
        <v>546</v>
      </c>
      <c r="B31" s="113"/>
      <c r="C31" s="113"/>
      <c r="D31" s="113"/>
      <c r="E31" s="113"/>
      <c r="F31" s="113"/>
      <c r="G31" s="113"/>
      <c r="H31" s="23">
        <f>0.054*O21*1.058</f>
        <v>466.711308</v>
      </c>
      <c r="I31" s="22"/>
      <c r="J31" s="22"/>
      <c r="K31" s="23"/>
      <c r="M31" s="65" t="s">
        <v>94</v>
      </c>
      <c r="O31" s="65">
        <v>5500</v>
      </c>
    </row>
    <row r="32" spans="1:11" ht="12.75">
      <c r="A32" s="24"/>
      <c r="B32" s="24"/>
      <c r="C32" s="24"/>
      <c r="D32" s="24"/>
      <c r="E32" s="24"/>
      <c r="F32" s="24"/>
      <c r="G32" s="24"/>
      <c r="H32" s="23"/>
      <c r="I32" s="22"/>
      <c r="J32" s="22"/>
      <c r="K32" s="23"/>
    </row>
    <row r="33" spans="1:15" ht="15.75">
      <c r="A33" s="110" t="s">
        <v>95</v>
      </c>
      <c r="B33" s="110"/>
      <c r="C33" s="110"/>
      <c r="D33" s="110"/>
      <c r="E33" s="110"/>
      <c r="F33" s="20"/>
      <c r="G33" s="20"/>
      <c r="H33" s="27"/>
      <c r="I33" s="20"/>
      <c r="J33" s="20"/>
      <c r="K33" s="21">
        <f>H35+H37+H39+H41+H43+H45+H47+H49+H51+H53+H54+H56+H58</f>
        <v>25917.532443598666</v>
      </c>
      <c r="M33" s="65" t="s">
        <v>96</v>
      </c>
      <c r="O33" s="69">
        <f>K322</f>
        <v>1.7471854361709405</v>
      </c>
    </row>
    <row r="34" spans="1:11" ht="12.75">
      <c r="A34" s="22"/>
      <c r="B34" s="22" t="s">
        <v>64</v>
      </c>
      <c r="C34" s="22"/>
      <c r="D34" s="22"/>
      <c r="E34" s="22"/>
      <c r="F34" s="22"/>
      <c r="G34" s="22"/>
      <c r="H34" s="28"/>
      <c r="I34" s="22"/>
      <c r="J34" s="22"/>
      <c r="K34" s="29"/>
    </row>
    <row r="35" spans="1:11" ht="12.75">
      <c r="A35" s="113" t="s">
        <v>547</v>
      </c>
      <c r="B35" s="113"/>
      <c r="C35" s="113"/>
      <c r="D35" s="113"/>
      <c r="E35" s="113"/>
      <c r="F35" s="113"/>
      <c r="G35" s="113"/>
      <c r="H35" s="28">
        <f>(O22*1.5)/12*90.3*1.058</f>
        <v>4621.621725</v>
      </c>
      <c r="I35" s="22"/>
      <c r="J35" s="22"/>
      <c r="K35" s="29"/>
    </row>
    <row r="36" spans="1:11" ht="12.75">
      <c r="A36" s="24"/>
      <c r="B36" s="24"/>
      <c r="C36" s="24"/>
      <c r="D36" s="24"/>
      <c r="E36" s="24"/>
      <c r="F36" s="24"/>
      <c r="G36" s="24"/>
      <c r="H36" s="28"/>
      <c r="I36" s="22"/>
      <c r="J36" s="22"/>
      <c r="K36" s="29"/>
    </row>
    <row r="37" spans="1:12" ht="12.75">
      <c r="A37" s="113" t="s">
        <v>548</v>
      </c>
      <c r="B37" s="113"/>
      <c r="C37" s="113"/>
      <c r="D37" s="113"/>
      <c r="E37" s="113"/>
      <c r="F37" s="113"/>
      <c r="G37" s="113"/>
      <c r="H37" s="28">
        <f>O22*1.5*33.1/12*1.058</f>
        <v>1694.082825</v>
      </c>
      <c r="I37" s="22"/>
      <c r="J37" s="22"/>
      <c r="K37" s="29"/>
      <c r="L37" s="65">
        <f>1.16*O21</f>
        <v>9476.039999999999</v>
      </c>
    </row>
    <row r="38" spans="1:11" ht="12.75">
      <c r="A38" s="24"/>
      <c r="B38" s="24"/>
      <c r="C38" s="24"/>
      <c r="D38" s="24"/>
      <c r="E38" s="24"/>
      <c r="F38" s="24"/>
      <c r="G38" s="24"/>
      <c r="H38" s="28"/>
      <c r="I38" s="22"/>
      <c r="J38" s="22"/>
      <c r="K38" s="29"/>
    </row>
    <row r="39" spans="1:11" ht="12.75">
      <c r="A39" s="113" t="s">
        <v>549</v>
      </c>
      <c r="B39" s="113"/>
      <c r="C39" s="113"/>
      <c r="D39" s="113"/>
      <c r="E39" s="113"/>
      <c r="F39" s="113"/>
      <c r="G39" s="113"/>
      <c r="H39" s="28">
        <f>O31*2.24*1.229</f>
        <v>15141.280000000002</v>
      </c>
      <c r="I39" s="22"/>
      <c r="J39" s="22"/>
      <c r="K39" s="29"/>
    </row>
    <row r="40" spans="1:11" ht="12.75">
      <c r="A40" s="24"/>
      <c r="B40" s="24"/>
      <c r="C40" s="24"/>
      <c r="D40" s="24"/>
      <c r="E40" s="24"/>
      <c r="F40" s="24"/>
      <c r="G40" s="24"/>
      <c r="H40" s="28"/>
      <c r="I40" s="22"/>
      <c r="J40" s="22"/>
      <c r="K40" s="29"/>
    </row>
    <row r="41" spans="1:11" ht="12.75">
      <c r="A41" s="113" t="s">
        <v>550</v>
      </c>
      <c r="B41" s="113"/>
      <c r="C41" s="113"/>
      <c r="D41" s="113"/>
      <c r="E41" s="113"/>
      <c r="F41" s="113"/>
      <c r="G41" s="113"/>
      <c r="H41" s="28">
        <f>O21*0.028</f>
        <v>228.732</v>
      </c>
      <c r="I41" s="22"/>
      <c r="J41" s="22"/>
      <c r="K41" s="29"/>
    </row>
    <row r="42" spans="1:11" ht="12.75">
      <c r="A42" s="24"/>
      <c r="B42" s="24"/>
      <c r="C42" s="24"/>
      <c r="D42" s="24"/>
      <c r="E42" s="24"/>
      <c r="F42" s="24"/>
      <c r="G42" s="24"/>
      <c r="H42" s="28"/>
      <c r="I42" s="22"/>
      <c r="J42" s="22"/>
      <c r="K42" s="29"/>
    </row>
    <row r="43" spans="1:11" ht="12.75">
      <c r="A43" s="113" t="s">
        <v>551</v>
      </c>
      <c r="B43" s="113"/>
      <c r="C43" s="113"/>
      <c r="D43" s="113"/>
      <c r="E43" s="113"/>
      <c r="F43" s="113"/>
      <c r="G43" s="113"/>
      <c r="H43" s="28">
        <f>O21*0.0027</f>
        <v>22.0563</v>
      </c>
      <c r="I43" s="22"/>
      <c r="J43" s="22"/>
      <c r="K43" s="29"/>
    </row>
    <row r="44" spans="1:11" ht="12.75">
      <c r="A44" s="24"/>
      <c r="B44" s="24"/>
      <c r="C44" s="24"/>
      <c r="D44" s="24"/>
      <c r="E44" s="24"/>
      <c r="F44" s="24"/>
      <c r="G44" s="24"/>
      <c r="H44" s="28"/>
      <c r="I44" s="22"/>
      <c r="J44" s="22"/>
      <c r="K44" s="29"/>
    </row>
    <row r="45" spans="1:11" ht="12.75">
      <c r="A45" s="113" t="s">
        <v>552</v>
      </c>
      <c r="B45" s="113"/>
      <c r="C45" s="113"/>
      <c r="D45" s="113"/>
      <c r="E45" s="24"/>
      <c r="F45" s="24"/>
      <c r="G45" s="24"/>
      <c r="H45" s="28">
        <f>O21*0.216</f>
        <v>1764.504</v>
      </c>
      <c r="I45" s="22"/>
      <c r="J45" s="22"/>
      <c r="K45" s="29"/>
    </row>
    <row r="46" spans="1:11" ht="12.75">
      <c r="A46" s="24"/>
      <c r="B46" s="24"/>
      <c r="C46" s="24"/>
      <c r="D46" s="24"/>
      <c r="E46" s="24"/>
      <c r="F46" s="24"/>
      <c r="G46" s="24"/>
      <c r="H46" s="28"/>
      <c r="I46" s="22"/>
      <c r="J46" s="22"/>
      <c r="K46" s="29"/>
    </row>
    <row r="47" spans="1:11" ht="12.75">
      <c r="A47" s="113" t="s">
        <v>292</v>
      </c>
      <c r="B47" s="113"/>
      <c r="C47" s="113"/>
      <c r="D47" s="113"/>
      <c r="E47" s="113"/>
      <c r="F47" s="113"/>
      <c r="G47" s="113"/>
      <c r="H47" s="28">
        <f>O30*4.81/12</f>
        <v>9.62</v>
      </c>
      <c r="I47" s="22"/>
      <c r="J47" s="22"/>
      <c r="K47" s="29"/>
    </row>
    <row r="48" spans="1:11" ht="12.75">
      <c r="A48" s="24"/>
      <c r="B48" s="24"/>
      <c r="C48" s="24"/>
      <c r="D48" s="24"/>
      <c r="E48" s="24"/>
      <c r="F48" s="24"/>
      <c r="G48" s="24"/>
      <c r="H48" s="28"/>
      <c r="I48" s="22"/>
      <c r="J48" s="22"/>
      <c r="K48" s="29"/>
    </row>
    <row r="49" spans="1:11" ht="12.75">
      <c r="A49" s="113" t="s">
        <v>553</v>
      </c>
      <c r="B49" s="113"/>
      <c r="C49" s="113"/>
      <c r="D49" s="113"/>
      <c r="E49" s="113"/>
      <c r="F49" s="113"/>
      <c r="G49" s="113"/>
      <c r="H49" s="28">
        <f>128*100.73/12*1.229</f>
        <v>1320.503146666667</v>
      </c>
      <c r="I49" s="22"/>
      <c r="J49" s="22"/>
      <c r="K49" s="29"/>
    </row>
    <row r="50" spans="1:11" ht="12.75">
      <c r="A50" s="24"/>
      <c r="B50" s="24"/>
      <c r="C50" s="24"/>
      <c r="D50" s="24"/>
      <c r="E50" s="24"/>
      <c r="F50" s="24"/>
      <c r="G50" s="24"/>
      <c r="H50" s="28"/>
      <c r="I50" s="22"/>
      <c r="J50" s="22"/>
      <c r="K50" s="29"/>
    </row>
    <row r="51" spans="1:11" ht="12.75">
      <c r="A51" s="113" t="s">
        <v>554</v>
      </c>
      <c r="B51" s="113"/>
      <c r="C51" s="113"/>
      <c r="D51" s="113"/>
      <c r="E51" s="113"/>
      <c r="F51" s="113"/>
      <c r="G51" s="113"/>
      <c r="H51" s="28">
        <f>O21*0.0198*1.18*1.142</f>
        <v>217.962709272</v>
      </c>
      <c r="I51" s="22"/>
      <c r="J51" s="32"/>
      <c r="K51" s="29"/>
    </row>
    <row r="52" spans="1:11" ht="12.75">
      <c r="A52" s="24"/>
      <c r="B52" s="24"/>
      <c r="C52" s="24"/>
      <c r="D52" s="24"/>
      <c r="E52" s="24"/>
      <c r="F52" s="24"/>
      <c r="G52" s="24"/>
      <c r="H52" s="28"/>
      <c r="I52" s="22"/>
      <c r="J52" s="32"/>
      <c r="K52" s="29"/>
    </row>
    <row r="53" spans="1:11" ht="12.75">
      <c r="A53" s="113" t="s">
        <v>555</v>
      </c>
      <c r="B53" s="113"/>
      <c r="C53" s="113"/>
      <c r="D53" s="113"/>
      <c r="E53" s="113"/>
      <c r="F53" s="113"/>
      <c r="G53" s="113"/>
      <c r="H53" s="28">
        <f>O21*0.0165*1.18*1.142</f>
        <v>181.63559105999997</v>
      </c>
      <c r="I53" s="22"/>
      <c r="J53" s="22"/>
      <c r="K53" s="29"/>
    </row>
    <row r="54" spans="1:11" ht="12.75">
      <c r="A54" s="113" t="s">
        <v>556</v>
      </c>
      <c r="B54" s="113"/>
      <c r="C54" s="113"/>
      <c r="D54" s="113"/>
      <c r="E54" s="113"/>
      <c r="F54" s="113"/>
      <c r="G54" s="113"/>
      <c r="H54" s="28">
        <f>O21*0.0153*1.18*1.142</f>
        <v>168.425729892</v>
      </c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1" ht="12.75">
      <c r="A56" s="113" t="s">
        <v>557</v>
      </c>
      <c r="B56" s="113"/>
      <c r="C56" s="113"/>
      <c r="D56" s="113"/>
      <c r="E56" s="113"/>
      <c r="F56" s="113"/>
      <c r="G56" s="24"/>
      <c r="H56" s="28">
        <f>O21*0.0392*1.18*1.142</f>
        <v>431.522131488</v>
      </c>
      <c r="I56" s="22"/>
      <c r="J56" s="22"/>
      <c r="K56" s="29"/>
    </row>
    <row r="57" spans="1:11" ht="12.75">
      <c r="A57" s="24"/>
      <c r="B57" s="24"/>
      <c r="C57" s="24"/>
      <c r="D57" s="24"/>
      <c r="E57" s="24"/>
      <c r="F57" s="24"/>
      <c r="G57" s="24"/>
      <c r="H57" s="28"/>
      <c r="I57" s="22"/>
      <c r="J57" s="22"/>
      <c r="K57" s="29"/>
    </row>
    <row r="58" spans="1:11" ht="12.75">
      <c r="A58" s="113" t="s">
        <v>558</v>
      </c>
      <c r="B58" s="113"/>
      <c r="C58" s="113"/>
      <c r="D58" s="113"/>
      <c r="E58" s="113"/>
      <c r="F58" s="113"/>
      <c r="G58" s="24"/>
      <c r="H58" s="28">
        <f>O21*0.0105*1.18*1.142</f>
        <v>115.58628522</v>
      </c>
      <c r="I58" s="22"/>
      <c r="J58" s="22"/>
      <c r="K58" s="29"/>
    </row>
    <row r="59" spans="1:11" ht="12.75">
      <c r="A59" s="24"/>
      <c r="B59" s="24"/>
      <c r="C59" s="24"/>
      <c r="D59" s="24"/>
      <c r="E59" s="24"/>
      <c r="F59" s="24"/>
      <c r="G59" s="24"/>
      <c r="H59" s="28"/>
      <c r="I59" s="22"/>
      <c r="J59" s="22"/>
      <c r="K59" s="29"/>
    </row>
    <row r="60" spans="1:11" ht="15.75">
      <c r="A60" s="86" t="s">
        <v>148</v>
      </c>
      <c r="B60" s="86"/>
      <c r="C60" s="86"/>
      <c r="D60" s="86"/>
      <c r="E60" s="86"/>
      <c r="F60" s="86"/>
      <c r="G60" s="86"/>
      <c r="H60" s="87"/>
      <c r="I60" s="88"/>
      <c r="J60" s="88">
        <v>9460.05</v>
      </c>
      <c r="K60" s="89">
        <f>H62+H64+H66+H68+H69</f>
        <v>18213.779019607842</v>
      </c>
    </row>
    <row r="61" spans="1:11" ht="12.75">
      <c r="A61" s="24"/>
      <c r="B61" s="24" t="s">
        <v>64</v>
      </c>
      <c r="C61" s="24"/>
      <c r="D61" s="24"/>
      <c r="E61" s="24"/>
      <c r="F61" s="24"/>
      <c r="G61" s="24"/>
      <c r="H61" s="28"/>
      <c r="I61" s="22"/>
      <c r="J61" s="22"/>
      <c r="K61" s="29"/>
    </row>
    <row r="62" spans="1:13" ht="12.75">
      <c r="A62" s="113" t="s">
        <v>559</v>
      </c>
      <c r="B62" s="113"/>
      <c r="C62" s="113"/>
      <c r="D62" s="113"/>
      <c r="E62" s="113"/>
      <c r="F62" s="113"/>
      <c r="G62" s="24"/>
      <c r="H62" s="28">
        <f>O21*2.07</f>
        <v>16909.829999999998</v>
      </c>
      <c r="I62" s="22"/>
      <c r="J62" s="22"/>
      <c r="K62" s="29"/>
      <c r="M62" s="65">
        <v>18024</v>
      </c>
    </row>
    <row r="63" spans="1:11" ht="12.75">
      <c r="A63" s="24"/>
      <c r="B63" s="24"/>
      <c r="C63" s="24"/>
      <c r="D63" s="24"/>
      <c r="E63" s="24"/>
      <c r="F63" s="24"/>
      <c r="G63" s="24"/>
      <c r="H63" s="28"/>
      <c r="I63" s="22"/>
      <c r="J63" s="22"/>
      <c r="K63" s="29"/>
    </row>
    <row r="64" spans="1:11" ht="12.75">
      <c r="A64" s="113" t="s">
        <v>560</v>
      </c>
      <c r="B64" s="113"/>
      <c r="C64" s="113"/>
      <c r="D64" s="113"/>
      <c r="E64" s="113"/>
      <c r="F64" s="113"/>
      <c r="G64" s="24"/>
      <c r="H64" s="28">
        <f>1884*4/12</f>
        <v>628</v>
      </c>
      <c r="I64" s="22"/>
      <c r="J64" s="22"/>
      <c r="K64" s="29"/>
    </row>
    <row r="65" spans="1:11" ht="12.75">
      <c r="A65" s="24"/>
      <c r="B65" s="24"/>
      <c r="C65" s="24"/>
      <c r="D65" s="24"/>
      <c r="E65" s="24"/>
      <c r="F65" s="24"/>
      <c r="G65" s="24"/>
      <c r="H65" s="28"/>
      <c r="I65" s="22"/>
      <c r="J65" s="22"/>
      <c r="K65" s="29"/>
    </row>
    <row r="66" spans="1:11" ht="12.75">
      <c r="A66" s="113" t="s">
        <v>561</v>
      </c>
      <c r="B66" s="113"/>
      <c r="C66" s="113"/>
      <c r="D66" s="113"/>
      <c r="E66" s="113"/>
      <c r="F66" s="113"/>
      <c r="G66" s="113"/>
      <c r="H66" s="28">
        <f>1882*4/12</f>
        <v>627.3333333333334</v>
      </c>
      <c r="I66" s="22"/>
      <c r="J66" s="22"/>
      <c r="K66" s="29"/>
    </row>
    <row r="67" spans="1:11" ht="12.75">
      <c r="A67" s="24"/>
      <c r="B67" s="24"/>
      <c r="C67" s="24"/>
      <c r="D67" s="24"/>
      <c r="E67" s="24"/>
      <c r="F67" s="24"/>
      <c r="G67" s="24"/>
      <c r="H67" s="28"/>
      <c r="I67" s="22"/>
      <c r="J67" s="22"/>
      <c r="K67" s="29"/>
    </row>
    <row r="68" spans="1:11" ht="12.75">
      <c r="A68" s="113" t="s">
        <v>562</v>
      </c>
      <c r="B68" s="113"/>
      <c r="C68" s="113"/>
      <c r="D68" s="113"/>
      <c r="E68" s="113"/>
      <c r="F68" s="113"/>
      <c r="G68" s="113"/>
      <c r="H68" s="28">
        <f>56.4*4/2/12</f>
        <v>9.4</v>
      </c>
      <c r="I68" s="22"/>
      <c r="J68" s="22"/>
      <c r="K68" s="29"/>
    </row>
    <row r="69" spans="1:11" ht="12.75">
      <c r="A69" s="24" t="s">
        <v>340</v>
      </c>
      <c r="B69" s="24"/>
      <c r="C69" s="24"/>
      <c r="D69" s="24"/>
      <c r="E69" s="24"/>
      <c r="F69" s="24"/>
      <c r="G69" s="24"/>
      <c r="H69" s="28">
        <f>10000/85*4/12</f>
        <v>39.2156862745098</v>
      </c>
      <c r="I69" s="22"/>
      <c r="J69" s="22"/>
      <c r="K69" s="29"/>
    </row>
    <row r="70" spans="1:11" ht="12.75">
      <c r="A70" s="24"/>
      <c r="B70" s="24"/>
      <c r="C70" s="24"/>
      <c r="D70" s="24"/>
      <c r="E70" s="24"/>
      <c r="F70" s="24"/>
      <c r="G70" s="24"/>
      <c r="H70" s="28"/>
      <c r="I70" s="22"/>
      <c r="J70" s="22"/>
      <c r="K70" s="29"/>
    </row>
    <row r="71" spans="1:13" ht="15.75">
      <c r="A71" s="20" t="s">
        <v>111</v>
      </c>
      <c r="B71" s="20"/>
      <c r="C71" s="20"/>
      <c r="D71" s="20"/>
      <c r="E71" s="20"/>
      <c r="F71" s="20"/>
      <c r="G71" s="20"/>
      <c r="H71" s="27"/>
      <c r="I71" s="20"/>
      <c r="J71" s="20"/>
      <c r="K71" s="21">
        <f>H75+H77+H79+H81+H83+H85+H87+H89+H92+H94</f>
        <v>22424.796011228867</v>
      </c>
      <c r="M71" s="71">
        <f>K71/309084*O21</f>
        <v>592.6808201515724</v>
      </c>
    </row>
    <row r="72" spans="1:11" ht="12.75">
      <c r="A72" s="22"/>
      <c r="B72" s="22" t="s">
        <v>64</v>
      </c>
      <c r="C72" s="22"/>
      <c r="D72" s="22"/>
      <c r="E72" s="22"/>
      <c r="F72" s="22"/>
      <c r="G72" s="22"/>
      <c r="H72" s="28"/>
      <c r="I72" s="22"/>
      <c r="J72" s="22"/>
      <c r="K72" s="29"/>
    </row>
    <row r="73" spans="1:11" ht="12.75">
      <c r="A73" s="33" t="s">
        <v>112</v>
      </c>
      <c r="B73" s="33"/>
      <c r="C73" s="33"/>
      <c r="D73" s="33"/>
      <c r="E73" s="33"/>
      <c r="F73" s="33"/>
      <c r="G73" s="33"/>
      <c r="H73" s="34"/>
      <c r="I73" s="33"/>
      <c r="J73" s="33"/>
      <c r="K73" s="35"/>
    </row>
    <row r="74" spans="1:11" ht="12.75">
      <c r="A74" s="33"/>
      <c r="B74" s="33"/>
      <c r="C74" s="33"/>
      <c r="D74" s="33"/>
      <c r="E74" s="33"/>
      <c r="F74" s="33"/>
      <c r="G74" s="33"/>
      <c r="H74" s="34"/>
      <c r="I74" s="33"/>
      <c r="J74" s="33"/>
      <c r="K74" s="35"/>
    </row>
    <row r="75" spans="1:13" ht="12.75">
      <c r="A75" s="111" t="s">
        <v>563</v>
      </c>
      <c r="B75" s="111"/>
      <c r="C75" s="111"/>
      <c r="D75" s="111"/>
      <c r="E75" s="111"/>
      <c r="F75" s="111"/>
      <c r="G75" s="36"/>
      <c r="H75" s="37">
        <f>K322*24.48*165.1*1.5*1.07</f>
        <v>11333.721180585702</v>
      </c>
      <c r="I75" s="38"/>
      <c r="J75" s="38"/>
      <c r="K75" s="35"/>
      <c r="M75" s="69">
        <f>K322</f>
        <v>1.7471854361709405</v>
      </c>
    </row>
    <row r="76" spans="1:11" ht="12.75">
      <c r="A76" s="33" t="s">
        <v>114</v>
      </c>
      <c r="B76" s="33"/>
      <c r="C76" s="33"/>
      <c r="D76" s="33"/>
      <c r="E76" s="33"/>
      <c r="F76" s="33"/>
      <c r="G76" s="33"/>
      <c r="H76" s="34"/>
      <c r="I76" s="33"/>
      <c r="J76" s="33"/>
      <c r="K76" s="35"/>
    </row>
    <row r="77" spans="1:11" ht="12.75">
      <c r="A77" s="39">
        <f>H75</f>
        <v>11333.721180585702</v>
      </c>
      <c r="B77" s="36" t="s">
        <v>115</v>
      </c>
      <c r="C77" s="36"/>
      <c r="D77" s="36"/>
      <c r="E77" s="36"/>
      <c r="F77" s="36"/>
      <c r="G77" s="38"/>
      <c r="H77" s="37">
        <f>H75*14.2%</f>
        <v>1609.3884076431696</v>
      </c>
      <c r="I77" s="38"/>
      <c r="J77" s="38"/>
      <c r="K77" s="35"/>
    </row>
    <row r="78" spans="1:11" ht="12.75">
      <c r="A78" s="119"/>
      <c r="B78" s="119"/>
      <c r="C78" s="119"/>
      <c r="D78" s="119"/>
      <c r="E78" s="119"/>
      <c r="F78" s="40"/>
      <c r="G78" s="40"/>
      <c r="H78" s="37"/>
      <c r="I78" s="38"/>
      <c r="J78" s="38"/>
      <c r="K78" s="35"/>
    </row>
    <row r="79" spans="1:11" ht="12.75">
      <c r="A79" s="30" t="s">
        <v>86</v>
      </c>
      <c r="B79" s="30"/>
      <c r="C79" s="30"/>
      <c r="D79" s="30"/>
      <c r="E79" s="30"/>
      <c r="F79" s="40"/>
      <c r="G79" s="40"/>
      <c r="H79" s="37">
        <f>0.04*O21</f>
        <v>326.76</v>
      </c>
      <c r="I79" s="38"/>
      <c r="J79" s="38"/>
      <c r="K79" s="35"/>
    </row>
    <row r="80" spans="1:11" ht="12.75">
      <c r="A80" s="30"/>
      <c r="B80" s="30"/>
      <c r="C80" s="30"/>
      <c r="D80" s="30"/>
      <c r="E80" s="30"/>
      <c r="F80" s="40"/>
      <c r="G80" s="40"/>
      <c r="H80" s="37"/>
      <c r="I80" s="38"/>
      <c r="J80" s="38"/>
      <c r="K80" s="35"/>
    </row>
    <row r="81" spans="1:11" ht="12.75">
      <c r="A81" s="108" t="s">
        <v>564</v>
      </c>
      <c r="B81" s="108"/>
      <c r="C81" s="108"/>
      <c r="D81" s="108"/>
      <c r="E81" s="108"/>
      <c r="F81" s="108"/>
      <c r="G81" s="108"/>
      <c r="H81" s="37">
        <f>0.97*O21</f>
        <v>7923.929999999999</v>
      </c>
      <c r="I81" s="38"/>
      <c r="J81" s="38"/>
      <c r="K81" s="35"/>
    </row>
    <row r="82" spans="1:11" ht="12.75">
      <c r="A82" s="30"/>
      <c r="B82" s="30"/>
      <c r="C82" s="30"/>
      <c r="D82" s="30"/>
      <c r="E82" s="30"/>
      <c r="F82" s="30"/>
      <c r="G82" s="30"/>
      <c r="H82" s="37"/>
      <c r="I82" s="38"/>
      <c r="J82" s="38"/>
      <c r="K82" s="35"/>
    </row>
    <row r="83" spans="1:11" ht="12.75">
      <c r="A83" s="90" t="s">
        <v>565</v>
      </c>
      <c r="B83" s="90"/>
      <c r="C83" s="90"/>
      <c r="D83" s="90"/>
      <c r="E83" s="90"/>
      <c r="F83" s="30"/>
      <c r="G83" s="30"/>
      <c r="H83" s="37">
        <f>0.0037*O21</f>
        <v>30.2253</v>
      </c>
      <c r="I83" s="38"/>
      <c r="J83" s="38"/>
      <c r="K83" s="35"/>
    </row>
    <row r="84" spans="1:11" ht="12.75">
      <c r="A84" s="30"/>
      <c r="B84" s="30"/>
      <c r="C84" s="30"/>
      <c r="D84" s="30"/>
      <c r="E84" s="30"/>
      <c r="F84" s="30"/>
      <c r="G84" s="30"/>
      <c r="H84" s="37"/>
      <c r="I84" s="38"/>
      <c r="J84" s="38"/>
      <c r="K84" s="35"/>
    </row>
    <row r="85" spans="1:12" ht="12.75">
      <c r="A85" s="108" t="s">
        <v>566</v>
      </c>
      <c r="B85" s="108"/>
      <c r="C85" s="108"/>
      <c r="D85" s="108"/>
      <c r="E85" s="108"/>
      <c r="F85" s="108"/>
      <c r="G85" s="108"/>
      <c r="H85" s="37">
        <f>O21*0.082</f>
        <v>669.8580000000001</v>
      </c>
      <c r="I85" s="38"/>
      <c r="J85" s="38"/>
      <c r="K85" s="35"/>
      <c r="L85" s="69"/>
    </row>
    <row r="86" spans="1:12" ht="12.75">
      <c r="A86" s="30"/>
      <c r="B86" s="30"/>
      <c r="C86" s="30"/>
      <c r="D86" s="30"/>
      <c r="E86" s="30"/>
      <c r="F86" s="30"/>
      <c r="G86" s="30"/>
      <c r="H86" s="37"/>
      <c r="I86" s="38"/>
      <c r="J86" s="38"/>
      <c r="K86" s="35"/>
      <c r="L86" s="69"/>
    </row>
    <row r="87" spans="1:13" ht="12.75">
      <c r="A87" s="108" t="s">
        <v>567</v>
      </c>
      <c r="B87" s="108"/>
      <c r="C87" s="108"/>
      <c r="D87" s="108"/>
      <c r="E87" s="108"/>
      <c r="F87" s="108"/>
      <c r="G87" s="108"/>
      <c r="H87" s="31">
        <f>O21*0.023*1.229</f>
        <v>230.913123</v>
      </c>
      <c r="I87" s="33"/>
      <c r="J87" s="33"/>
      <c r="K87" s="35"/>
      <c r="M87" s="65">
        <f>36646.37/309083*O21</f>
        <v>968.5560077066679</v>
      </c>
    </row>
    <row r="88" spans="1:11" ht="12.75">
      <c r="A88" s="30"/>
      <c r="B88" s="30"/>
      <c r="C88" s="30"/>
      <c r="D88" s="30"/>
      <c r="E88" s="30"/>
      <c r="F88" s="30"/>
      <c r="G88" s="30"/>
      <c r="H88" s="31"/>
      <c r="I88" s="33"/>
      <c r="J88" s="33"/>
      <c r="K88" s="35"/>
    </row>
    <row r="89" spans="1:11" ht="12.75">
      <c r="A89" s="41" t="s">
        <v>120</v>
      </c>
      <c r="B89" s="41"/>
      <c r="C89" s="41"/>
      <c r="D89" s="41"/>
      <c r="E89" s="40"/>
      <c r="F89" s="40"/>
      <c r="G89" s="40"/>
      <c r="H89" s="31">
        <v>300</v>
      </c>
      <c r="I89" s="38"/>
      <c r="J89" s="38"/>
      <c r="K89" s="35"/>
    </row>
    <row r="90" spans="1:11" ht="12.75" customHeight="1" hidden="1">
      <c r="A90" s="38"/>
      <c r="B90" s="38"/>
      <c r="C90" s="38"/>
      <c r="D90" s="40"/>
      <c r="E90" s="40"/>
      <c r="F90" s="40"/>
      <c r="G90" s="40"/>
      <c r="H90" s="121"/>
      <c r="I90" s="40"/>
      <c r="J90" s="40"/>
      <c r="K90" s="122"/>
    </row>
    <row r="91" spans="1:11" ht="12.75" customHeight="1">
      <c r="A91" s="38"/>
      <c r="B91" s="38"/>
      <c r="C91" s="38"/>
      <c r="D91" s="40"/>
      <c r="E91" s="40"/>
      <c r="F91" s="40"/>
      <c r="G91" s="40"/>
      <c r="H91" s="121"/>
      <c r="I91" s="40"/>
      <c r="J91" s="40"/>
      <c r="K91" s="122"/>
    </row>
    <row r="92" spans="1:11" ht="12.75">
      <c r="A92" s="38" t="s">
        <v>568</v>
      </c>
      <c r="B92" s="38"/>
      <c r="C92" s="38"/>
      <c r="D92" s="40"/>
      <c r="E92" s="40"/>
      <c r="F92" s="40"/>
      <c r="G92" s="38"/>
      <c r="H92" s="37"/>
      <c r="I92" s="40"/>
      <c r="J92" s="40"/>
      <c r="K92" s="122"/>
    </row>
    <row r="93" spans="1:11" ht="12.75">
      <c r="A93" s="38"/>
      <c r="B93" s="38"/>
      <c r="C93" s="38"/>
      <c r="D93" s="40"/>
      <c r="E93" s="40"/>
      <c r="F93" s="40"/>
      <c r="G93" s="38"/>
      <c r="H93" s="37"/>
      <c r="I93" s="40"/>
      <c r="J93" s="40"/>
      <c r="K93" s="122"/>
    </row>
    <row r="94" spans="1:11" ht="12.75">
      <c r="A94" s="38" t="s">
        <v>377</v>
      </c>
      <c r="B94" s="38"/>
      <c r="C94" s="38"/>
      <c r="D94" s="40"/>
      <c r="E94" s="40"/>
      <c r="F94" s="40"/>
      <c r="G94" s="38"/>
      <c r="H94" s="37"/>
      <c r="I94" s="40"/>
      <c r="J94" s="40"/>
      <c r="K94" s="122"/>
    </row>
    <row r="95" spans="1:11" ht="12.75">
      <c r="A95" s="38"/>
      <c r="B95" s="38"/>
      <c r="C95" s="38"/>
      <c r="D95" s="40"/>
      <c r="E95" s="40"/>
      <c r="F95" s="40"/>
      <c r="G95" s="38"/>
      <c r="H95" s="37"/>
      <c r="I95" s="40"/>
      <c r="J95" s="40"/>
      <c r="K95" s="122"/>
    </row>
    <row r="96" spans="1:15" ht="15.75">
      <c r="A96" s="110" t="s">
        <v>121</v>
      </c>
      <c r="B96" s="110"/>
      <c r="C96" s="110"/>
      <c r="D96" s="110"/>
      <c r="E96" s="42"/>
      <c r="F96" s="42"/>
      <c r="G96" s="20"/>
      <c r="H96" s="27"/>
      <c r="I96" s="20"/>
      <c r="J96" s="20"/>
      <c r="K96" s="21">
        <f>H99+H100+H102+H104</f>
        <v>6722.2701</v>
      </c>
      <c r="M96" s="72">
        <f>51932.37/301083*O21</f>
        <v>1409.0318301930033</v>
      </c>
      <c r="O96" s="65">
        <v>4536.42</v>
      </c>
    </row>
    <row r="97" spans="1:13" ht="15.75">
      <c r="A97" s="125"/>
      <c r="B97" s="125"/>
      <c r="C97" s="125"/>
      <c r="D97" s="125"/>
      <c r="E97" s="130"/>
      <c r="F97" s="130"/>
      <c r="G97" s="54"/>
      <c r="H97" s="131"/>
      <c r="I97" s="54"/>
      <c r="J97" s="54"/>
      <c r="K97" s="56"/>
      <c r="M97" s="72"/>
    </row>
    <row r="98" spans="1:11" ht="12.75">
      <c r="A98" s="111" t="s">
        <v>122</v>
      </c>
      <c r="B98" s="111"/>
      <c r="C98" s="111"/>
      <c r="D98" s="111"/>
      <c r="E98" s="111"/>
      <c r="F98" s="111"/>
      <c r="G98" s="36"/>
      <c r="H98" s="37"/>
      <c r="I98" s="36"/>
      <c r="J98" s="36"/>
      <c r="K98" s="91"/>
    </row>
    <row r="99" spans="1:11" ht="12.75">
      <c r="A99" s="36" t="s">
        <v>569</v>
      </c>
      <c r="B99" s="36"/>
      <c r="C99" s="36"/>
      <c r="D99" s="36"/>
      <c r="E99" s="36"/>
      <c r="F99" s="36"/>
      <c r="G99" s="36"/>
      <c r="H99" s="37">
        <f>0.2227*O21</f>
        <v>1819.2363</v>
      </c>
      <c r="I99" s="36"/>
      <c r="J99" s="36"/>
      <c r="K99" s="91"/>
    </row>
    <row r="100" spans="1:11" ht="12.75">
      <c r="A100" s="30" t="s">
        <v>570</v>
      </c>
      <c r="B100" s="43"/>
      <c r="C100" s="30"/>
      <c r="D100" s="30"/>
      <c r="E100" s="44"/>
      <c r="F100" s="38"/>
      <c r="G100" s="38"/>
      <c r="H100" s="37">
        <f>0.0257*O21</f>
        <v>209.9433</v>
      </c>
      <c r="I100" s="38"/>
      <c r="J100" s="38"/>
      <c r="K100" s="91"/>
    </row>
    <row r="101" spans="1:11" ht="12.75">
      <c r="A101" s="30"/>
      <c r="B101" s="43"/>
      <c r="C101" s="30"/>
      <c r="D101" s="30"/>
      <c r="E101" s="44"/>
      <c r="F101" s="38"/>
      <c r="G101" s="38"/>
      <c r="H101" s="37"/>
      <c r="I101" s="38"/>
      <c r="J101" s="38"/>
      <c r="K101" s="91"/>
    </row>
    <row r="102" spans="1:11" ht="12.75">
      <c r="A102" s="111" t="s">
        <v>571</v>
      </c>
      <c r="B102" s="111"/>
      <c r="C102" s="111"/>
      <c r="D102" s="111"/>
      <c r="E102" s="111"/>
      <c r="F102" s="38"/>
      <c r="G102" s="38"/>
      <c r="H102" s="37">
        <f>0.0945*O21</f>
        <v>771.9705</v>
      </c>
      <c r="I102" s="38"/>
      <c r="J102" s="38"/>
      <c r="K102" s="91"/>
    </row>
    <row r="103" spans="1:11" ht="12.75">
      <c r="A103" s="36"/>
      <c r="B103" s="36"/>
      <c r="C103" s="36"/>
      <c r="D103" s="36"/>
      <c r="E103" s="36"/>
      <c r="F103" s="38"/>
      <c r="G103" s="38"/>
      <c r="H103" s="37"/>
      <c r="I103" s="38"/>
      <c r="J103" s="38"/>
      <c r="K103" s="91"/>
    </row>
    <row r="104" spans="1:11" ht="12.75">
      <c r="A104" s="36" t="s">
        <v>572</v>
      </c>
      <c r="B104" s="36"/>
      <c r="C104" s="36"/>
      <c r="D104" s="36"/>
      <c r="E104" s="36"/>
      <c r="F104" s="38"/>
      <c r="G104" s="38"/>
      <c r="H104" s="37">
        <f>0.48*O21</f>
        <v>3921.12</v>
      </c>
      <c r="I104" s="38"/>
      <c r="J104" s="38"/>
      <c r="K104" s="38"/>
    </row>
    <row r="105" spans="1:11" ht="12.75">
      <c r="A105" s="36"/>
      <c r="B105" s="36"/>
      <c r="C105" s="36"/>
      <c r="D105" s="36"/>
      <c r="E105" s="36"/>
      <c r="F105" s="38"/>
      <c r="G105" s="38"/>
      <c r="H105" s="37"/>
      <c r="I105" s="38"/>
      <c r="J105" s="38"/>
      <c r="K105" s="38"/>
    </row>
    <row r="106" spans="1:13" ht="15.75">
      <c r="A106" s="26" t="s">
        <v>127</v>
      </c>
      <c r="B106" s="26"/>
      <c r="C106" s="26"/>
      <c r="D106" s="26"/>
      <c r="E106" s="26"/>
      <c r="F106" s="26"/>
      <c r="G106" s="26"/>
      <c r="H106" s="46"/>
      <c r="I106" s="20"/>
      <c r="J106" s="20"/>
      <c r="K106" s="21">
        <f>O21*0.94</f>
        <v>7678.86</v>
      </c>
      <c r="M106" s="71">
        <f>231179.9/309083*O21</f>
        <v>6110.037119802771</v>
      </c>
    </row>
    <row r="107" spans="1:11" ht="15.75">
      <c r="A107" s="47"/>
      <c r="B107" s="47"/>
      <c r="C107" s="112" t="s">
        <v>64</v>
      </c>
      <c r="D107" s="112"/>
      <c r="E107" s="47"/>
      <c r="F107" s="47"/>
      <c r="G107" s="47"/>
      <c r="H107" s="48"/>
      <c r="I107" s="47"/>
      <c r="J107" s="47"/>
      <c r="K107" s="49"/>
    </row>
    <row r="108" spans="1:11" ht="12.75">
      <c r="A108" s="30" t="s">
        <v>128</v>
      </c>
      <c r="B108" s="30"/>
      <c r="C108" s="30"/>
      <c r="D108" s="30"/>
      <c r="E108" s="30"/>
      <c r="F108" s="30"/>
      <c r="G108" s="30"/>
      <c r="H108" s="37"/>
      <c r="I108" s="38"/>
      <c r="J108" s="38"/>
      <c r="K108" s="35"/>
    </row>
    <row r="109" spans="1:11" ht="12.75">
      <c r="A109" s="30"/>
      <c r="B109" s="30"/>
      <c r="C109" s="30"/>
      <c r="D109" s="30"/>
      <c r="E109" s="30"/>
      <c r="F109" s="30"/>
      <c r="G109" s="30"/>
      <c r="H109" s="37"/>
      <c r="I109" s="38"/>
      <c r="J109" s="38"/>
      <c r="K109" s="35"/>
    </row>
    <row r="110" spans="1:11" ht="12.75">
      <c r="A110" s="30" t="s">
        <v>129</v>
      </c>
      <c r="B110" s="43"/>
      <c r="C110" s="30"/>
      <c r="D110" s="30"/>
      <c r="E110" s="30"/>
      <c r="F110" s="44"/>
      <c r="G110" s="44"/>
      <c r="H110" s="37"/>
      <c r="I110" s="38"/>
      <c r="J110" s="38"/>
      <c r="K110" s="35"/>
    </row>
    <row r="111" spans="1:11" ht="12.75">
      <c r="A111" s="108" t="s">
        <v>130</v>
      </c>
      <c r="B111" s="108"/>
      <c r="C111" s="108"/>
      <c r="D111" s="108"/>
      <c r="E111" s="108"/>
      <c r="F111" s="108"/>
      <c r="G111" s="44"/>
      <c r="H111" s="37"/>
      <c r="I111" s="38"/>
      <c r="J111" s="38"/>
      <c r="K111" s="35"/>
    </row>
    <row r="112" spans="1:11" ht="12.75">
      <c r="A112" s="30"/>
      <c r="B112" s="30"/>
      <c r="C112" s="30"/>
      <c r="D112" s="30"/>
      <c r="E112" s="30"/>
      <c r="F112" s="30"/>
      <c r="G112" s="44"/>
      <c r="H112" s="37"/>
      <c r="I112" s="38"/>
      <c r="J112" s="38"/>
      <c r="K112" s="35"/>
    </row>
    <row r="113" spans="1:11" ht="12.75">
      <c r="A113" s="108" t="s">
        <v>131</v>
      </c>
      <c r="B113" s="108"/>
      <c r="C113" s="108"/>
      <c r="D113" s="108"/>
      <c r="E113" s="108"/>
      <c r="F113" s="108"/>
      <c r="G113" s="108"/>
      <c r="H113" s="37"/>
      <c r="I113" s="38"/>
      <c r="J113" s="38"/>
      <c r="K113" s="35"/>
    </row>
    <row r="114" spans="1:11" ht="12.75">
      <c r="A114" s="30"/>
      <c r="B114" s="30"/>
      <c r="C114" s="30"/>
      <c r="D114" s="30"/>
      <c r="E114" s="30"/>
      <c r="F114" s="30"/>
      <c r="G114" s="30"/>
      <c r="H114" s="37"/>
      <c r="I114" s="38"/>
      <c r="J114" s="38"/>
      <c r="K114" s="35"/>
    </row>
    <row r="115" spans="1:11" ht="12.75">
      <c r="A115" s="108" t="s">
        <v>132</v>
      </c>
      <c r="B115" s="108"/>
      <c r="C115" s="108"/>
      <c r="D115" s="108"/>
      <c r="E115" s="109"/>
      <c r="F115" s="109"/>
      <c r="G115" s="109"/>
      <c r="H115" s="37"/>
      <c r="I115" s="38"/>
      <c r="J115" s="38"/>
      <c r="K115" s="35"/>
    </row>
    <row r="116" spans="1:11" ht="12.75">
      <c r="A116" s="30"/>
      <c r="B116" s="30"/>
      <c r="C116" s="30"/>
      <c r="D116" s="30"/>
      <c r="E116" s="50"/>
      <c r="F116" s="50"/>
      <c r="G116" s="50"/>
      <c r="H116" s="37"/>
      <c r="I116" s="38"/>
      <c r="J116" s="38"/>
      <c r="K116" s="35"/>
    </row>
    <row r="117" spans="1:11" ht="12.75">
      <c r="A117" s="108" t="s">
        <v>133</v>
      </c>
      <c r="B117" s="108"/>
      <c r="C117" s="108"/>
      <c r="D117" s="108"/>
      <c r="E117" s="108"/>
      <c r="F117" s="44"/>
      <c r="G117" s="44"/>
      <c r="H117" s="37"/>
      <c r="I117" s="38"/>
      <c r="J117" s="38"/>
      <c r="K117" s="35"/>
    </row>
    <row r="118" spans="1:11" ht="12.75">
      <c r="A118" s="30"/>
      <c r="B118" s="30"/>
      <c r="C118" s="30"/>
      <c r="D118" s="30"/>
      <c r="E118" s="30"/>
      <c r="F118" s="44"/>
      <c r="G118" s="44"/>
      <c r="H118" s="37"/>
      <c r="I118" s="38"/>
      <c r="J118" s="38"/>
      <c r="K118" s="35"/>
    </row>
    <row r="119" spans="1:14" ht="12.75">
      <c r="A119" s="44" t="s">
        <v>134</v>
      </c>
      <c r="B119" s="44"/>
      <c r="C119" s="44"/>
      <c r="D119" s="44"/>
      <c r="E119" s="44"/>
      <c r="F119" s="44"/>
      <c r="G119" s="44"/>
      <c r="H119" s="37"/>
      <c r="I119" s="38"/>
      <c r="J119" s="38"/>
      <c r="K119" s="35"/>
      <c r="N119" s="69">
        <f>K18+K33+K60+K71+K96+K106</f>
        <v>88716.502676016</v>
      </c>
    </row>
    <row r="120" spans="1:14" ht="12.75">
      <c r="A120" s="22"/>
      <c r="B120" s="22"/>
      <c r="C120" s="22"/>
      <c r="D120" s="22"/>
      <c r="E120" s="22"/>
      <c r="F120" s="22"/>
      <c r="G120" s="22"/>
      <c r="H120" s="28"/>
      <c r="I120" s="22"/>
      <c r="J120" s="22"/>
      <c r="K120" s="29"/>
      <c r="N120" s="65">
        <f>E13*97%</f>
        <v>90804.41665960001</v>
      </c>
    </row>
    <row r="121" spans="1:14" ht="15.75">
      <c r="A121" s="20" t="s">
        <v>135</v>
      </c>
      <c r="B121" s="20"/>
      <c r="C121" s="20"/>
      <c r="D121" s="20"/>
      <c r="E121" s="20"/>
      <c r="F121" s="51"/>
      <c r="G121" s="51"/>
      <c r="H121" s="52"/>
      <c r="I121" s="51"/>
      <c r="J121" s="51"/>
      <c r="K121" s="21">
        <f>0.0205*O21</f>
        <v>167.46450000000002</v>
      </c>
      <c r="L121" s="72" t="e">
        <f>E13-(K18+K33+K60+K71+K96+#REF!+#REF!+K106)</f>
        <v>#REF!</v>
      </c>
      <c r="M121" s="72"/>
      <c r="N121" s="65">
        <f>(N120-N119)*0.15</f>
        <v>313.18709753760265</v>
      </c>
    </row>
    <row r="122" spans="1:13" ht="15.75">
      <c r="A122" s="54"/>
      <c r="B122" s="54"/>
      <c r="C122" s="54"/>
      <c r="D122" s="54"/>
      <c r="E122" s="54"/>
      <c r="F122" s="53"/>
      <c r="G122" s="53"/>
      <c r="H122" s="55"/>
      <c r="I122" s="53"/>
      <c r="J122" s="53"/>
      <c r="K122" s="56"/>
      <c r="L122" s="72"/>
      <c r="M122" s="72"/>
    </row>
    <row r="123" spans="1:11" ht="15.75">
      <c r="A123" s="57" t="s">
        <v>136</v>
      </c>
      <c r="B123" s="57"/>
      <c r="C123" s="57"/>
      <c r="D123" s="58"/>
      <c r="E123" s="58"/>
      <c r="F123" s="58"/>
      <c r="G123" s="58"/>
      <c r="H123" s="59"/>
      <c r="I123" s="58"/>
      <c r="J123" s="58"/>
      <c r="K123" s="60">
        <f>K15*6%</f>
        <v>5333.03803056096</v>
      </c>
    </row>
    <row r="124" spans="1:11" ht="15.75">
      <c r="A124" s="63" t="s">
        <v>137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4">
        <f>K123+K15</f>
        <v>94217.00520657696</v>
      </c>
    </row>
    <row r="125" spans="1:12" ht="15.75">
      <c r="A125" s="63" t="s">
        <v>138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4">
        <f>K124/O21</f>
        <v>11.53348086749626</v>
      </c>
      <c r="L125" s="65" t="s">
        <v>70</v>
      </c>
    </row>
    <row r="126" spans="1:11" ht="15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4"/>
    </row>
    <row r="127" spans="1:11" ht="15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4"/>
    </row>
    <row r="134" spans="3:9" s="65" customFormat="1" ht="15.75">
      <c r="C134" s="106" t="s">
        <v>139</v>
      </c>
      <c r="D134" s="107"/>
      <c r="E134" s="107"/>
      <c r="F134" s="107"/>
      <c r="G134" s="107"/>
      <c r="H134" s="107"/>
      <c r="I134" s="107"/>
    </row>
    <row r="135" spans="3:9" s="65" customFormat="1" ht="15.75">
      <c r="C135" s="74" t="s">
        <v>140</v>
      </c>
      <c r="D135" s="74" t="s">
        <v>141</v>
      </c>
      <c r="E135" s="74"/>
      <c r="F135" s="74"/>
      <c r="G135" s="75"/>
      <c r="H135" s="75"/>
      <c r="I135" s="75"/>
    </row>
    <row r="136" s="65" customFormat="1" ht="12.75"/>
    <row r="137" s="65" customFormat="1" ht="12.75">
      <c r="E137" s="65" t="s">
        <v>142</v>
      </c>
    </row>
    <row r="138" spans="5:8" s="65" customFormat="1" ht="12.75">
      <c r="E138" s="65" t="s">
        <v>143</v>
      </c>
      <c r="H138" s="65">
        <v>1200</v>
      </c>
    </row>
    <row r="139" spans="5:8" s="65" customFormat="1" ht="12.75">
      <c r="E139" s="65" t="s">
        <v>144</v>
      </c>
      <c r="H139" s="65">
        <v>1324</v>
      </c>
    </row>
    <row r="140" spans="5:8" s="65" customFormat="1" ht="12.75">
      <c r="E140" s="65" t="s">
        <v>145</v>
      </c>
      <c r="H140" s="65">
        <v>332</v>
      </c>
    </row>
    <row r="141" spans="5:8" s="65" customFormat="1" ht="12.75">
      <c r="E141" s="65" t="s">
        <v>146</v>
      </c>
      <c r="H141" s="65">
        <v>5351.8</v>
      </c>
    </row>
    <row r="142" s="65" customFormat="1" ht="12.75"/>
    <row r="143" spans="1:11" s="65" customFormat="1" ht="15.75">
      <c r="A143" s="105" t="s">
        <v>72</v>
      </c>
      <c r="B143" s="105"/>
      <c r="C143" s="105"/>
      <c r="D143" s="105"/>
      <c r="E143" s="105"/>
      <c r="F143" s="105"/>
      <c r="G143" s="105"/>
      <c r="H143" s="76" t="e">
        <f>H145+H147+H149+H151+H153+H155+H157</f>
        <v>#REF!</v>
      </c>
      <c r="I143" s="77" t="s">
        <v>70</v>
      </c>
      <c r="K143" s="78" t="e">
        <f>H143-20000</f>
        <v>#REF!</v>
      </c>
    </row>
    <row r="144" spans="1:7" s="65" customFormat="1" ht="12.75">
      <c r="A144" s="79"/>
      <c r="B144" s="79"/>
      <c r="C144" s="79"/>
      <c r="D144" s="79"/>
      <c r="E144" s="79"/>
      <c r="F144" s="79"/>
      <c r="G144" s="79"/>
    </row>
    <row r="145" spans="1:8" s="65" customFormat="1" ht="15.75">
      <c r="A145" s="80" t="s">
        <v>147</v>
      </c>
      <c r="B145" s="80"/>
      <c r="C145" s="80"/>
      <c r="D145" s="80"/>
      <c r="E145" s="80"/>
      <c r="F145" s="80"/>
      <c r="G145" s="80"/>
      <c r="H145" s="78">
        <f>K18</f>
        <v>7759.265101580625</v>
      </c>
    </row>
    <row r="146" spans="1:8" s="65" customFormat="1" ht="12.75">
      <c r="A146" s="79"/>
      <c r="B146" s="79"/>
      <c r="C146" s="79"/>
      <c r="D146" s="79"/>
      <c r="E146" s="79"/>
      <c r="F146" s="79"/>
      <c r="G146" s="79"/>
      <c r="H146" s="78"/>
    </row>
    <row r="147" spans="1:8" s="65" customFormat="1" ht="15.75">
      <c r="A147" s="105" t="s">
        <v>95</v>
      </c>
      <c r="B147" s="105"/>
      <c r="C147" s="105"/>
      <c r="D147" s="105"/>
      <c r="E147" s="105"/>
      <c r="F147" s="80"/>
      <c r="G147" s="80"/>
      <c r="H147" s="78">
        <f>K33</f>
        <v>25917.532443598666</v>
      </c>
    </row>
    <row r="148" spans="1:8" s="65" customFormat="1" ht="12.75">
      <c r="A148" s="79"/>
      <c r="B148" s="79"/>
      <c r="C148" s="79"/>
      <c r="D148" s="79"/>
      <c r="E148" s="79"/>
      <c r="F148" s="79"/>
      <c r="G148" s="79"/>
      <c r="H148" s="78"/>
    </row>
    <row r="149" spans="1:8" s="65" customFormat="1" ht="15.75">
      <c r="A149" s="105" t="s">
        <v>148</v>
      </c>
      <c r="B149" s="105"/>
      <c r="C149" s="105"/>
      <c r="D149" s="105"/>
      <c r="E149" s="105"/>
      <c r="F149" s="105"/>
      <c r="G149" s="105"/>
      <c r="H149" s="81" t="e">
        <f>#REF!</f>
        <v>#REF!</v>
      </c>
    </row>
    <row r="150" spans="1:8" s="65" customFormat="1" ht="12.75">
      <c r="A150" s="79"/>
      <c r="B150" s="79"/>
      <c r="C150" s="79"/>
      <c r="D150" s="79"/>
      <c r="E150" s="79"/>
      <c r="F150" s="79"/>
      <c r="G150" s="79"/>
      <c r="H150" s="82"/>
    </row>
    <row r="151" spans="1:8" s="65" customFormat="1" ht="15.75">
      <c r="A151" s="80" t="s">
        <v>111</v>
      </c>
      <c r="B151" s="80"/>
      <c r="C151" s="80"/>
      <c r="D151" s="80"/>
      <c r="E151" s="80"/>
      <c r="F151" s="80"/>
      <c r="G151" s="80"/>
      <c r="H151" s="82">
        <f>M71</f>
        <v>592.6808201515724</v>
      </c>
    </row>
    <row r="152" spans="1:8" s="65" customFormat="1" ht="12.75">
      <c r="A152" s="79"/>
      <c r="B152" s="79"/>
      <c r="C152" s="79"/>
      <c r="D152" s="79"/>
      <c r="E152" s="79"/>
      <c r="F152" s="79"/>
      <c r="G152" s="79"/>
      <c r="H152" s="82"/>
    </row>
    <row r="153" spans="1:8" s="65" customFormat="1" ht="15.75">
      <c r="A153" s="105" t="s">
        <v>149</v>
      </c>
      <c r="B153" s="105"/>
      <c r="C153" s="105"/>
      <c r="D153" s="105"/>
      <c r="E153" s="80"/>
      <c r="F153" s="80"/>
      <c r="G153" s="80"/>
      <c r="H153" s="81">
        <f>M96</f>
        <v>1409.0318301930033</v>
      </c>
    </row>
    <row r="154" spans="1:8" s="65" customFormat="1" ht="12.75">
      <c r="A154" s="79"/>
      <c r="B154" s="79"/>
      <c r="C154" s="79"/>
      <c r="D154" s="79"/>
      <c r="E154" s="79"/>
      <c r="F154" s="79"/>
      <c r="G154" s="79"/>
      <c r="H154" s="82"/>
    </row>
    <row r="155" spans="1:8" s="65" customFormat="1" ht="15.75">
      <c r="A155" s="83" t="s">
        <v>127</v>
      </c>
      <c r="B155" s="83"/>
      <c r="C155" s="83"/>
      <c r="D155" s="83"/>
      <c r="E155" s="83"/>
      <c r="F155" s="83"/>
      <c r="G155" s="83"/>
      <c r="H155" s="81">
        <f>M106</f>
        <v>6110.037119802771</v>
      </c>
    </row>
    <row r="156" spans="1:8" s="65" customFormat="1" ht="12.75">
      <c r="A156" s="79"/>
      <c r="B156" s="79"/>
      <c r="C156" s="79"/>
      <c r="D156" s="79"/>
      <c r="E156" s="79"/>
      <c r="F156" s="79"/>
      <c r="G156" s="79"/>
      <c r="H156" s="82"/>
    </row>
    <row r="157" spans="1:8" s="65" customFormat="1" ht="15.75">
      <c r="A157" s="80" t="s">
        <v>150</v>
      </c>
      <c r="B157" s="80"/>
      <c r="C157" s="80"/>
      <c r="D157" s="80"/>
      <c r="E157" s="80"/>
      <c r="F157" s="84"/>
      <c r="G157" s="84"/>
      <c r="H157" s="81" t="e">
        <f>L121</f>
        <v>#REF!</v>
      </c>
    </row>
    <row r="158" s="65" customFormat="1" ht="12.75"/>
    <row r="159" s="65" customFormat="1" ht="12.75"/>
    <row r="160" s="65" customFormat="1" ht="12.75">
      <c r="H160" s="65" t="s">
        <v>151</v>
      </c>
    </row>
    <row r="161" s="65" customFormat="1" ht="12.75">
      <c r="H161" s="65" t="s">
        <v>146</v>
      </c>
    </row>
    <row r="162" s="65" customFormat="1" ht="12.75">
      <c r="H162" s="65" t="s">
        <v>152</v>
      </c>
    </row>
    <row r="163" s="65" customFormat="1" ht="12.75"/>
    <row r="164" s="65" customFormat="1" ht="12.75"/>
    <row r="165" s="65" customFormat="1" ht="12.75">
      <c r="F165" s="65" t="s">
        <v>153</v>
      </c>
    </row>
    <row r="166" s="65" customFormat="1" ht="12.75">
      <c r="D166" s="65" t="s">
        <v>154</v>
      </c>
    </row>
    <row r="167" s="65" customFormat="1" ht="12.75">
      <c r="D167" s="65" t="s">
        <v>155</v>
      </c>
    </row>
    <row r="168" spans="6:13" s="65" customFormat="1" ht="12.75">
      <c r="F168" s="65" t="s">
        <v>156</v>
      </c>
      <c r="M168" s="65" t="s">
        <v>157</v>
      </c>
    </row>
    <row r="169" s="65" customFormat="1" ht="12.75">
      <c r="M169" s="65" t="s">
        <v>158</v>
      </c>
    </row>
    <row r="170" spans="1:14" s="65" customFormat="1" ht="12.75">
      <c r="A170" s="65" t="s">
        <v>159</v>
      </c>
      <c r="B170" s="65" t="s">
        <v>160</v>
      </c>
      <c r="D170" s="65" t="s">
        <v>161</v>
      </c>
      <c r="F170" s="65" t="s">
        <v>162</v>
      </c>
      <c r="G170" s="65" t="s">
        <v>163</v>
      </c>
      <c r="H170" s="65" t="s">
        <v>164</v>
      </c>
      <c r="J170" s="65" t="s">
        <v>165</v>
      </c>
      <c r="M170" s="73" t="s">
        <v>166</v>
      </c>
      <c r="N170" s="65">
        <v>8750</v>
      </c>
    </row>
    <row r="171" spans="1:13" s="65" customFormat="1" ht="12.75">
      <c r="A171" s="65" t="s">
        <v>167</v>
      </c>
      <c r="B171" s="65" t="s">
        <v>168</v>
      </c>
      <c r="D171" s="65" t="s">
        <v>169</v>
      </c>
      <c r="F171" s="65" t="s">
        <v>170</v>
      </c>
      <c r="G171" s="65" t="s">
        <v>171</v>
      </c>
      <c r="H171" s="65" t="s">
        <v>172</v>
      </c>
      <c r="J171" s="65" t="s">
        <v>173</v>
      </c>
      <c r="M171" s="65" t="s">
        <v>174</v>
      </c>
    </row>
    <row r="172" spans="8:9" s="65" customFormat="1" ht="12.75">
      <c r="H172" s="65" t="s">
        <v>175</v>
      </c>
      <c r="I172" s="65" t="s">
        <v>176</v>
      </c>
    </row>
    <row r="173" spans="8:13" s="65" customFormat="1" ht="12.75">
      <c r="H173" s="65" t="s">
        <v>170</v>
      </c>
      <c r="I173" s="65" t="s">
        <v>177</v>
      </c>
      <c r="M173" s="65" t="s">
        <v>178</v>
      </c>
    </row>
    <row r="174" spans="9:13" s="65" customFormat="1" ht="12.75">
      <c r="I174" s="65" t="s">
        <v>179</v>
      </c>
      <c r="M174" s="65" t="s">
        <v>158</v>
      </c>
    </row>
    <row r="175" spans="13:14" s="65" customFormat="1" ht="12.75">
      <c r="M175" s="73" t="s">
        <v>166</v>
      </c>
      <c r="N175" s="65">
        <v>718.9</v>
      </c>
    </row>
    <row r="176" spans="1:13" s="65" customFormat="1" ht="12.75">
      <c r="A176" s="65" t="s">
        <v>180</v>
      </c>
      <c r="B176" s="65" t="s">
        <v>181</v>
      </c>
      <c r="D176" s="65" t="s">
        <v>182</v>
      </c>
      <c r="M176" s="65" t="s">
        <v>174</v>
      </c>
    </row>
    <row r="177" spans="2:4" s="65" customFormat="1" ht="12.75">
      <c r="B177" s="65" t="s">
        <v>183</v>
      </c>
      <c r="D177" s="65" t="s">
        <v>184</v>
      </c>
    </row>
    <row r="178" spans="2:13" s="65" customFormat="1" ht="12.75">
      <c r="B178" s="65" t="s">
        <v>185</v>
      </c>
      <c r="D178" s="65" t="s">
        <v>186</v>
      </c>
      <c r="M178" s="65" t="s">
        <v>187</v>
      </c>
    </row>
    <row r="179" spans="2:13" s="65" customFormat="1" ht="12.75">
      <c r="B179" s="65" t="s">
        <v>188</v>
      </c>
      <c r="D179" s="65" t="s">
        <v>189</v>
      </c>
      <c r="M179" s="65" t="s">
        <v>158</v>
      </c>
    </row>
    <row r="180" spans="2:14" s="65" customFormat="1" ht="12.75">
      <c r="B180" s="65" t="s">
        <v>190</v>
      </c>
      <c r="M180" s="73" t="s">
        <v>166</v>
      </c>
      <c r="N180" s="65">
        <v>1222.1</v>
      </c>
    </row>
    <row r="181" spans="4:13" s="65" customFormat="1" ht="12.75">
      <c r="D181" s="65" t="s">
        <v>191</v>
      </c>
      <c r="M181" s="65" t="s">
        <v>174</v>
      </c>
    </row>
    <row r="182" spans="4:6" s="65" customFormat="1" ht="12.75">
      <c r="D182" s="65" t="s">
        <v>192</v>
      </c>
      <c r="F182" s="65" t="s">
        <v>193</v>
      </c>
    </row>
    <row r="183" spans="4:13" s="65" customFormat="1" ht="12.75">
      <c r="D183" s="65" t="s">
        <v>158</v>
      </c>
      <c r="F183" s="65" t="s">
        <v>194</v>
      </c>
      <c r="H183" s="65">
        <v>0.0687</v>
      </c>
      <c r="I183" s="65">
        <v>0</v>
      </c>
      <c r="K183" s="65">
        <f>N174/1000*H183</f>
        <v>0</v>
      </c>
      <c r="M183" s="65" t="s">
        <v>195</v>
      </c>
    </row>
    <row r="184" spans="4:13" s="65" customFormat="1" ht="12.75">
      <c r="D184" s="65" t="s">
        <v>196</v>
      </c>
      <c r="F184" s="65" t="s">
        <v>197</v>
      </c>
      <c r="H184" s="65">
        <v>0.0763</v>
      </c>
      <c r="I184" s="65">
        <v>0</v>
      </c>
      <c r="K184" s="65">
        <f>N175/1000*H184</f>
        <v>0.05485207</v>
      </c>
      <c r="M184" s="65" t="s">
        <v>158</v>
      </c>
    </row>
    <row r="185" spans="4:13" s="65" customFormat="1" ht="12.75">
      <c r="D185" s="65" t="s">
        <v>198</v>
      </c>
      <c r="F185" s="65" t="s">
        <v>199</v>
      </c>
      <c r="H185" s="65">
        <v>0.0839</v>
      </c>
      <c r="I185" s="65">
        <v>0</v>
      </c>
      <c r="K185" s="69">
        <f>N176/1000*H185</f>
        <v>0</v>
      </c>
      <c r="M185" s="73" t="s">
        <v>166</v>
      </c>
    </row>
    <row r="186" spans="6:13" s="65" customFormat="1" ht="12.75">
      <c r="F186" s="65" t="s">
        <v>200</v>
      </c>
      <c r="M186" s="65" t="s">
        <v>174</v>
      </c>
    </row>
    <row r="187" s="65" customFormat="1" ht="12.75">
      <c r="F187" s="65" t="s">
        <v>190</v>
      </c>
    </row>
    <row r="188" spans="5:9" s="65" customFormat="1" ht="12.75">
      <c r="E188" s="65" t="s">
        <v>201</v>
      </c>
      <c r="I188" s="65">
        <v>0</v>
      </c>
    </row>
    <row r="189" spans="2:4" s="65" customFormat="1" ht="12.75">
      <c r="B189" s="65" t="s">
        <v>202</v>
      </c>
      <c r="D189" s="65" t="s">
        <v>203</v>
      </c>
    </row>
    <row r="190" s="65" customFormat="1" ht="12.75">
      <c r="D190" s="65" t="s">
        <v>204</v>
      </c>
    </row>
    <row r="191" s="65" customFormat="1" ht="12.75">
      <c r="D191" s="65" t="s">
        <v>205</v>
      </c>
    </row>
    <row r="192" s="65" customFormat="1" ht="12.75">
      <c r="D192" s="65" t="s">
        <v>191</v>
      </c>
    </row>
    <row r="193" spans="4:11" s="65" customFormat="1" ht="12.75">
      <c r="D193" s="65" t="s">
        <v>158</v>
      </c>
      <c r="H193" s="65">
        <v>0.00338</v>
      </c>
      <c r="K193" s="69">
        <f>N197/1000*H193</f>
        <v>0</v>
      </c>
    </row>
    <row r="194" spans="4:11" s="65" customFormat="1" ht="12.75">
      <c r="D194" s="65" t="s">
        <v>196</v>
      </c>
      <c r="H194" s="65">
        <v>0.00376</v>
      </c>
      <c r="K194" s="69">
        <f>N198/1000*H194</f>
        <v>0.0329</v>
      </c>
    </row>
    <row r="195" spans="4:11" s="65" customFormat="1" ht="12.75">
      <c r="D195" s="65" t="s">
        <v>198</v>
      </c>
      <c r="H195" s="65">
        <v>0.00414</v>
      </c>
      <c r="K195" s="69">
        <f>N199/1000*H195</f>
        <v>0</v>
      </c>
    </row>
    <row r="196" s="65" customFormat="1" ht="12.75">
      <c r="M196" s="65" t="s">
        <v>206</v>
      </c>
    </row>
    <row r="197" spans="1:13" s="65" customFormat="1" ht="12.75">
      <c r="A197" s="65" t="s">
        <v>207</v>
      </c>
      <c r="B197" s="65" t="s">
        <v>208</v>
      </c>
      <c r="D197" s="65" t="s">
        <v>203</v>
      </c>
      <c r="M197" s="65" t="s">
        <v>158</v>
      </c>
    </row>
    <row r="198" spans="4:14" s="65" customFormat="1" ht="12.75">
      <c r="D198" s="65" t="s">
        <v>209</v>
      </c>
      <c r="M198" s="73" t="s">
        <v>166</v>
      </c>
      <c r="N198" s="65">
        <f>N170</f>
        <v>8750</v>
      </c>
    </row>
    <row r="199" spans="4:13" s="65" customFormat="1" ht="12.75">
      <c r="D199" s="65" t="s">
        <v>191</v>
      </c>
      <c r="M199" s="65" t="s">
        <v>174</v>
      </c>
    </row>
    <row r="200" spans="4:11" s="65" customFormat="1" ht="12.75">
      <c r="D200" s="65" t="s">
        <v>158</v>
      </c>
      <c r="H200" s="65">
        <v>0.02043</v>
      </c>
      <c r="I200" s="65">
        <v>0</v>
      </c>
      <c r="K200" s="65">
        <f>N184/1000*H200</f>
        <v>0</v>
      </c>
    </row>
    <row r="201" spans="4:13" s="65" customFormat="1" ht="12.75">
      <c r="D201" s="65" t="s">
        <v>196</v>
      </c>
      <c r="H201" s="65">
        <v>0.0227</v>
      </c>
      <c r="I201" s="65">
        <v>0</v>
      </c>
      <c r="K201" s="65">
        <f>N185/1000*H201</f>
        <v>0</v>
      </c>
      <c r="M201" s="65" t="s">
        <v>210</v>
      </c>
    </row>
    <row r="202" spans="4:13" s="65" customFormat="1" ht="12.75">
      <c r="D202" s="65" t="s">
        <v>198</v>
      </c>
      <c r="H202" s="65">
        <v>0.02497</v>
      </c>
      <c r="I202" s="65">
        <v>0</v>
      </c>
      <c r="K202" s="65">
        <f>N186/1000*H202</f>
        <v>0</v>
      </c>
      <c r="M202" s="65" t="s">
        <v>158</v>
      </c>
    </row>
    <row r="203" spans="4:14" s="65" customFormat="1" ht="12.75">
      <c r="D203" s="65" t="s">
        <v>211</v>
      </c>
      <c r="M203" s="73" t="s">
        <v>166</v>
      </c>
      <c r="N203" s="65">
        <v>128</v>
      </c>
    </row>
    <row r="204" spans="4:13" s="65" customFormat="1" ht="12.75">
      <c r="D204" s="65" t="s">
        <v>191</v>
      </c>
      <c r="M204" s="65" t="s">
        <v>174</v>
      </c>
    </row>
    <row r="205" spans="4:6" s="65" customFormat="1" ht="12.75">
      <c r="D205" s="65" t="s">
        <v>192</v>
      </c>
      <c r="F205" s="65" t="s">
        <v>193</v>
      </c>
    </row>
    <row r="206" spans="4:11" s="65" customFormat="1" ht="12.75">
      <c r="D206" s="65" t="s">
        <v>158</v>
      </c>
      <c r="H206" s="65">
        <v>0.00999</v>
      </c>
      <c r="K206" s="69">
        <f>N169/1000*H206</f>
        <v>0</v>
      </c>
    </row>
    <row r="207" spans="4:11" s="65" customFormat="1" ht="12.75">
      <c r="D207" s="65" t="s">
        <v>196</v>
      </c>
      <c r="H207" s="65">
        <v>0.0111</v>
      </c>
      <c r="K207" s="69">
        <f>N170/1000*H207</f>
        <v>0.097125</v>
      </c>
    </row>
    <row r="208" spans="4:11" s="65" customFormat="1" ht="12.75">
      <c r="D208" s="65" t="s">
        <v>198</v>
      </c>
      <c r="H208" s="65">
        <v>0.01221</v>
      </c>
      <c r="I208" s="65">
        <v>0</v>
      </c>
      <c r="K208" s="69">
        <f>N171/1000*H208</f>
        <v>0</v>
      </c>
    </row>
    <row r="209" s="65" customFormat="1" ht="12.75">
      <c r="I209" s="65">
        <v>0</v>
      </c>
    </row>
    <row r="210" spans="5:9" s="65" customFormat="1" ht="12.75">
      <c r="E210" s="65" t="s">
        <v>201</v>
      </c>
      <c r="G210" s="65">
        <v>0</v>
      </c>
      <c r="I210" s="65">
        <v>0</v>
      </c>
    </row>
    <row r="211" spans="1:6" s="65" customFormat="1" ht="12.75">
      <c r="A211" s="65" t="s">
        <v>212</v>
      </c>
      <c r="B211" s="65" t="s">
        <v>213</v>
      </c>
      <c r="D211" s="65" t="s">
        <v>203</v>
      </c>
      <c r="F211" s="65" t="s">
        <v>193</v>
      </c>
    </row>
    <row r="212" spans="2:6" s="65" customFormat="1" ht="12.75">
      <c r="B212" s="65" t="s">
        <v>214</v>
      </c>
      <c r="D212" s="65" t="s">
        <v>209</v>
      </c>
      <c r="F212" s="65" t="s">
        <v>215</v>
      </c>
    </row>
    <row r="213" spans="4:6" s="65" customFormat="1" ht="12.75">
      <c r="D213" s="65" t="s">
        <v>191</v>
      </c>
      <c r="F213" s="65" t="s">
        <v>216</v>
      </c>
    </row>
    <row r="214" spans="4:11" s="65" customFormat="1" ht="12.75">
      <c r="D214" s="65" t="s">
        <v>158</v>
      </c>
      <c r="H214" s="65">
        <v>0.018432</v>
      </c>
      <c r="I214" s="65">
        <v>0</v>
      </c>
      <c r="K214" s="65">
        <f>N184/1000*H214</f>
        <v>0</v>
      </c>
    </row>
    <row r="215" spans="4:11" s="65" customFormat="1" ht="12.75">
      <c r="D215" s="65" t="s">
        <v>196</v>
      </c>
      <c r="H215" s="65">
        <v>0.02048</v>
      </c>
      <c r="I215" s="65">
        <v>0</v>
      </c>
      <c r="K215" s="65">
        <f>N185/1000*H215</f>
        <v>0</v>
      </c>
    </row>
    <row r="216" spans="4:11" s="65" customFormat="1" ht="12.75">
      <c r="D216" s="65" t="s">
        <v>198</v>
      </c>
      <c r="K216" s="65">
        <f>N186/1000*H216</f>
        <v>0</v>
      </c>
    </row>
    <row r="217" s="65" customFormat="1" ht="12.75">
      <c r="D217" s="65" t="s">
        <v>211</v>
      </c>
    </row>
    <row r="218" s="65" customFormat="1" ht="12.75">
      <c r="D218" s="65" t="s">
        <v>191</v>
      </c>
    </row>
    <row r="219" s="65" customFormat="1" ht="12.75">
      <c r="D219" s="65" t="s">
        <v>192</v>
      </c>
    </row>
    <row r="220" spans="4:11" s="65" customFormat="1" ht="12.75">
      <c r="D220" s="65" t="s">
        <v>158</v>
      </c>
      <c r="K220" s="69">
        <f>N169/1000*H220</f>
        <v>0</v>
      </c>
    </row>
    <row r="221" spans="4:11" s="65" customFormat="1" ht="12.75">
      <c r="D221" s="65" t="s">
        <v>196</v>
      </c>
      <c r="H221" s="65">
        <v>0.02295</v>
      </c>
      <c r="I221" s="65">
        <v>0</v>
      </c>
      <c r="K221" s="69">
        <f>N170/1000*H221</f>
        <v>0.2008125</v>
      </c>
    </row>
    <row r="222" spans="4:11" s="65" customFormat="1" ht="12.75">
      <c r="D222" s="65" t="s">
        <v>198</v>
      </c>
      <c r="H222" s="65">
        <v>0.025245</v>
      </c>
      <c r="I222" s="65">
        <v>0</v>
      </c>
      <c r="K222" s="69">
        <f>N171/1000*H222</f>
        <v>0</v>
      </c>
    </row>
    <row r="223" spans="5:11" s="65" customFormat="1" ht="12.75">
      <c r="E223" s="65" t="s">
        <v>201</v>
      </c>
      <c r="G223" s="65">
        <v>0</v>
      </c>
      <c r="I223" s="65">
        <v>0</v>
      </c>
      <c r="K223" s="69"/>
    </row>
    <row r="224" s="65" customFormat="1" ht="12.75">
      <c r="K224" s="69"/>
    </row>
    <row r="225" spans="1:11" s="65" customFormat="1" ht="12.75">
      <c r="A225" s="65" t="s">
        <v>217</v>
      </c>
      <c r="B225" s="65" t="s">
        <v>218</v>
      </c>
      <c r="D225" s="65" t="s">
        <v>203</v>
      </c>
      <c r="K225" s="69"/>
    </row>
    <row r="226" spans="4:11" s="65" customFormat="1" ht="12.75">
      <c r="D226" s="65" t="s">
        <v>209</v>
      </c>
      <c r="K226" s="69"/>
    </row>
    <row r="227" spans="4:11" s="65" customFormat="1" ht="12.75">
      <c r="D227" s="65" t="s">
        <v>191</v>
      </c>
      <c r="K227" s="69"/>
    </row>
    <row r="228" spans="4:11" s="65" customFormat="1" ht="12.75">
      <c r="D228" s="65" t="s">
        <v>158</v>
      </c>
      <c r="H228" s="65">
        <v>0.027585</v>
      </c>
      <c r="I228" s="65">
        <v>0</v>
      </c>
      <c r="K228" s="69">
        <f>N184/1000*H228</f>
        <v>0</v>
      </c>
    </row>
    <row r="229" spans="4:11" s="65" customFormat="1" ht="12.75">
      <c r="D229" s="65" t="s">
        <v>196</v>
      </c>
      <c r="H229" s="65">
        <v>0.3065</v>
      </c>
      <c r="I229" s="65">
        <v>0</v>
      </c>
      <c r="K229" s="69">
        <f>N185/1000*H229</f>
        <v>0</v>
      </c>
    </row>
    <row r="230" spans="4:11" s="65" customFormat="1" ht="12.75">
      <c r="D230" s="65" t="s">
        <v>198</v>
      </c>
      <c r="K230" s="69">
        <f>N186/1000*H230</f>
        <v>0</v>
      </c>
    </row>
    <row r="231" spans="4:11" s="65" customFormat="1" ht="12.75">
      <c r="D231" s="65" t="s">
        <v>211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192</v>
      </c>
      <c r="K233" s="69"/>
    </row>
    <row r="234" spans="4:11" s="65" customFormat="1" ht="12.75">
      <c r="D234" s="65" t="s">
        <v>158</v>
      </c>
      <c r="K234" s="69">
        <f>N169/1000*H234</f>
        <v>0</v>
      </c>
    </row>
    <row r="235" spans="4:11" s="65" customFormat="1" ht="12.75">
      <c r="D235" s="65" t="s">
        <v>196</v>
      </c>
      <c r="H235" s="65">
        <v>0.00539</v>
      </c>
      <c r="I235" s="65">
        <v>0</v>
      </c>
      <c r="K235" s="69">
        <f>N170/1000*H235</f>
        <v>0.047162499999999996</v>
      </c>
    </row>
    <row r="236" spans="4:11" s="65" customFormat="1" ht="12.75">
      <c r="D236" s="65" t="s">
        <v>198</v>
      </c>
      <c r="H236" s="65">
        <v>0.005929</v>
      </c>
      <c r="I236" s="65">
        <v>0</v>
      </c>
      <c r="K236" s="69">
        <f>N171/1000*H236</f>
        <v>0</v>
      </c>
    </row>
    <row r="237" spans="5:11" s="65" customFormat="1" ht="12.75">
      <c r="E237" s="65" t="s">
        <v>201</v>
      </c>
      <c r="G237" s="65">
        <v>0</v>
      </c>
      <c r="I237" s="65">
        <v>0</v>
      </c>
      <c r="K237" s="69"/>
    </row>
    <row r="238" s="65" customFormat="1" ht="12.75">
      <c r="K238" s="69"/>
    </row>
    <row r="239" spans="1:11" s="65" customFormat="1" ht="12.75">
      <c r="A239" s="65" t="s">
        <v>219</v>
      </c>
      <c r="B239" s="65" t="s">
        <v>220</v>
      </c>
      <c r="D239" s="65" t="s">
        <v>203</v>
      </c>
      <c r="K239" s="69"/>
    </row>
    <row r="240" spans="2:11" s="65" customFormat="1" ht="12.75">
      <c r="B240" s="65" t="s">
        <v>214</v>
      </c>
      <c r="D240" s="65" t="s">
        <v>209</v>
      </c>
      <c r="K240" s="69"/>
    </row>
    <row r="241" spans="4:11" s="65" customFormat="1" ht="12.75">
      <c r="D241" s="65" t="s">
        <v>191</v>
      </c>
      <c r="K241" s="69"/>
    </row>
    <row r="242" spans="4:11" s="65" customFormat="1" ht="12.75">
      <c r="D242" s="65" t="s">
        <v>158</v>
      </c>
      <c r="H242" s="65">
        <v>0.022437</v>
      </c>
      <c r="I242" s="65">
        <v>0</v>
      </c>
      <c r="K242" s="69">
        <f>N184/1000*H242</f>
        <v>0</v>
      </c>
    </row>
    <row r="243" spans="4:11" s="65" customFormat="1" ht="12.75">
      <c r="D243" s="65" t="s">
        <v>196</v>
      </c>
      <c r="H243" s="65">
        <v>0.02493</v>
      </c>
      <c r="I243" s="65">
        <v>0</v>
      </c>
      <c r="K243" s="69">
        <f>N185/1000*H243</f>
        <v>0</v>
      </c>
    </row>
    <row r="244" spans="4:11" s="65" customFormat="1" ht="12.75">
      <c r="D244" s="65" t="s">
        <v>198</v>
      </c>
      <c r="K244" s="65">
        <f>N186/1000*H244</f>
        <v>0</v>
      </c>
    </row>
    <row r="245" s="65" customFormat="1" ht="12.75">
      <c r="D245" s="65" t="s">
        <v>211</v>
      </c>
    </row>
    <row r="246" s="65" customFormat="1" ht="12.75">
      <c r="D246" s="65" t="s">
        <v>191</v>
      </c>
    </row>
    <row r="247" s="65" customFormat="1" ht="12.75">
      <c r="D247" s="65" t="s">
        <v>192</v>
      </c>
    </row>
    <row r="248" spans="4:11" s="65" customFormat="1" ht="12.75">
      <c r="D248" s="65" t="s">
        <v>158</v>
      </c>
      <c r="K248" s="69">
        <f>N169/1000*H248</f>
        <v>0</v>
      </c>
    </row>
    <row r="249" spans="4:11" s="65" customFormat="1" ht="12.75">
      <c r="D249" s="65" t="s">
        <v>196</v>
      </c>
      <c r="H249" s="65">
        <v>0.00888</v>
      </c>
      <c r="I249" s="65">
        <v>0</v>
      </c>
      <c r="K249" s="69">
        <f>N170/1000*H249</f>
        <v>0.0777</v>
      </c>
    </row>
    <row r="250" spans="4:11" s="65" customFormat="1" ht="12.75">
      <c r="D250" s="65" t="s">
        <v>198</v>
      </c>
      <c r="H250" s="65">
        <v>0.009768</v>
      </c>
      <c r="I250" s="65">
        <v>0</v>
      </c>
      <c r="K250" s="69">
        <f>N171/1000*H250</f>
        <v>0</v>
      </c>
    </row>
    <row r="251" spans="5:11" s="65" customFormat="1" ht="12.75">
      <c r="E251" s="65" t="s">
        <v>201</v>
      </c>
      <c r="G251" s="65">
        <v>0</v>
      </c>
      <c r="I251" s="65">
        <v>0</v>
      </c>
      <c r="K251" s="69"/>
    </row>
    <row r="252" s="65" customFormat="1" ht="12.75">
      <c r="K252" s="69"/>
    </row>
    <row r="253" spans="2:4" s="65" customFormat="1" ht="12.75">
      <c r="B253" s="65" t="s">
        <v>221</v>
      </c>
      <c r="D253" s="65" t="s">
        <v>203</v>
      </c>
    </row>
    <row r="254" s="65" customFormat="1" ht="12.75">
      <c r="D254" s="65" t="s">
        <v>204</v>
      </c>
    </row>
    <row r="255" s="65" customFormat="1" ht="12.75">
      <c r="D255" s="65" t="s">
        <v>205</v>
      </c>
    </row>
    <row r="256" s="65" customFormat="1" ht="12.75">
      <c r="D256" s="65" t="s">
        <v>191</v>
      </c>
    </row>
    <row r="257" spans="4:11" s="65" customFormat="1" ht="12.75">
      <c r="D257" s="65" t="s">
        <v>158</v>
      </c>
      <c r="H257" s="65">
        <v>0.0243</v>
      </c>
      <c r="K257" s="69">
        <f>N197/1000*H257</f>
        <v>0</v>
      </c>
    </row>
    <row r="258" spans="4:11" s="65" customFormat="1" ht="12.75">
      <c r="D258" s="65" t="s">
        <v>196</v>
      </c>
      <c r="H258" s="65">
        <v>0.027</v>
      </c>
      <c r="K258" s="69">
        <f>N198/1000*H258</f>
        <v>0.23625</v>
      </c>
    </row>
    <row r="259" spans="4:11" s="65" customFormat="1" ht="12.75">
      <c r="D259" s="65" t="s">
        <v>198</v>
      </c>
      <c r="H259" s="65">
        <v>0.0297</v>
      </c>
      <c r="K259" s="69">
        <f>N199/1000*H259</f>
        <v>0</v>
      </c>
    </row>
    <row r="260" spans="1:11" s="65" customFormat="1" ht="12.75">
      <c r="A260" s="65" t="s">
        <v>222</v>
      </c>
      <c r="B260" s="65" t="s">
        <v>223</v>
      </c>
      <c r="D260" s="65" t="s">
        <v>203</v>
      </c>
      <c r="K260" s="69"/>
    </row>
    <row r="261" spans="4:11" s="65" customFormat="1" ht="12.75">
      <c r="D261" s="65" t="s">
        <v>209</v>
      </c>
      <c r="K261" s="69"/>
    </row>
    <row r="262" spans="4:11" s="65" customFormat="1" ht="12.75">
      <c r="D262" s="65" t="s">
        <v>191</v>
      </c>
      <c r="K262" s="69"/>
    </row>
    <row r="263" spans="4:11" s="65" customFormat="1" ht="12.75">
      <c r="D263" s="65" t="s">
        <v>158</v>
      </c>
      <c r="H263" s="65">
        <v>0.01773</v>
      </c>
      <c r="I263" s="65">
        <v>0</v>
      </c>
      <c r="K263" s="69">
        <f>N184/1000*H263</f>
        <v>0</v>
      </c>
    </row>
    <row r="264" spans="4:11" s="65" customFormat="1" ht="12.75">
      <c r="D264" s="65" t="s">
        <v>196</v>
      </c>
      <c r="H264" s="65">
        <v>0.0197</v>
      </c>
      <c r="I264" s="65">
        <v>0</v>
      </c>
      <c r="K264" s="69">
        <f>N185/1000*H264</f>
        <v>0</v>
      </c>
    </row>
    <row r="265" spans="4:11" s="65" customFormat="1" ht="12.75">
      <c r="D265" s="65" t="s">
        <v>198</v>
      </c>
      <c r="K265" s="69">
        <f>N186/1000*H265</f>
        <v>0</v>
      </c>
    </row>
    <row r="266" spans="4:11" s="65" customFormat="1" ht="12.75">
      <c r="D266" s="65" t="s">
        <v>211</v>
      </c>
      <c r="K266" s="69"/>
    </row>
    <row r="267" spans="4:11" s="65" customFormat="1" ht="12.75">
      <c r="D267" s="65" t="s">
        <v>191</v>
      </c>
      <c r="K267" s="69"/>
    </row>
    <row r="268" spans="4:11" s="65" customFormat="1" ht="12.75">
      <c r="D268" s="65" t="s">
        <v>192</v>
      </c>
      <c r="K268" s="69"/>
    </row>
    <row r="269" spans="4:11" s="65" customFormat="1" ht="12.75">
      <c r="D269" s="65" t="s">
        <v>158</v>
      </c>
      <c r="K269" s="69">
        <f>N169/1000*H269</f>
        <v>0</v>
      </c>
    </row>
    <row r="270" spans="4:11" s="65" customFormat="1" ht="12.75">
      <c r="D270" s="65" t="s">
        <v>196</v>
      </c>
      <c r="H270" s="65">
        <v>0.0018</v>
      </c>
      <c r="I270" s="65">
        <v>0</v>
      </c>
      <c r="K270" s="69">
        <f>N170/1000*H270</f>
        <v>0.01575</v>
      </c>
    </row>
    <row r="271" spans="4:11" s="65" customFormat="1" ht="12.75">
      <c r="D271" s="65" t="s">
        <v>198</v>
      </c>
      <c r="H271" s="65">
        <v>0.00198</v>
      </c>
      <c r="I271" s="65">
        <v>0</v>
      </c>
      <c r="K271" s="69">
        <f>N171/1000*H271</f>
        <v>0</v>
      </c>
    </row>
    <row r="272" spans="5:11" s="65" customFormat="1" ht="12.75">
      <c r="E272" s="65" t="s">
        <v>201</v>
      </c>
      <c r="G272" s="65">
        <v>0</v>
      </c>
      <c r="I272" s="65">
        <v>0</v>
      </c>
      <c r="K272" s="69"/>
    </row>
    <row r="273" s="65" customFormat="1" ht="12.75">
      <c r="K273" s="69"/>
    </row>
    <row r="274" spans="2:7" s="65" customFormat="1" ht="12.75">
      <c r="B274" s="65" t="s">
        <v>224</v>
      </c>
      <c r="D274" s="65" t="s">
        <v>203</v>
      </c>
      <c r="G274" s="65" t="s">
        <v>225</v>
      </c>
    </row>
    <row r="275" spans="4:7" s="65" customFormat="1" ht="12.75">
      <c r="D275" s="65" t="s">
        <v>204</v>
      </c>
      <c r="G275" s="65" t="s">
        <v>226</v>
      </c>
    </row>
    <row r="276" spans="4:7" s="65" customFormat="1" ht="12.75">
      <c r="D276" s="65" t="s">
        <v>205</v>
      </c>
      <c r="G276" s="65" t="s">
        <v>227</v>
      </c>
    </row>
    <row r="277" s="65" customFormat="1" ht="12.75">
      <c r="D277" s="65" t="s">
        <v>191</v>
      </c>
    </row>
    <row r="278" spans="4:11" s="65" customFormat="1" ht="12.75">
      <c r="D278" s="65" t="s">
        <v>158</v>
      </c>
      <c r="H278" s="65">
        <v>0.02367</v>
      </c>
      <c r="K278" s="69">
        <f>N179/1000*H278</f>
        <v>0</v>
      </c>
    </row>
    <row r="279" spans="4:11" s="65" customFormat="1" ht="12.75">
      <c r="D279" s="65" t="s">
        <v>196</v>
      </c>
      <c r="H279" s="65">
        <v>0.0263</v>
      </c>
      <c r="K279" s="69">
        <f>N180/1000*H279</f>
        <v>0.03214123</v>
      </c>
    </row>
    <row r="280" spans="4:11" s="65" customFormat="1" ht="12.75">
      <c r="D280" s="65" t="s">
        <v>198</v>
      </c>
      <c r="H280" s="65">
        <v>0.02893</v>
      </c>
      <c r="K280" s="69">
        <f>N181/1000*H280</f>
        <v>0</v>
      </c>
    </row>
    <row r="281" s="65" customFormat="1" ht="12.75">
      <c r="K281" s="69"/>
    </row>
    <row r="282" spans="1:11" s="65" customFormat="1" ht="12.75">
      <c r="A282" s="65" t="s">
        <v>228</v>
      </c>
      <c r="B282" s="65" t="s">
        <v>229</v>
      </c>
      <c r="D282" s="65" t="s">
        <v>203</v>
      </c>
      <c r="K282" s="69"/>
    </row>
    <row r="283" spans="2:11" s="65" customFormat="1" ht="12.75">
      <c r="B283" s="65" t="s">
        <v>230</v>
      </c>
      <c r="D283" s="65" t="s">
        <v>209</v>
      </c>
      <c r="K283" s="69"/>
    </row>
    <row r="284" spans="4:11" s="65" customFormat="1" ht="12.75">
      <c r="D284" s="65" t="s">
        <v>191</v>
      </c>
      <c r="K284" s="69"/>
    </row>
    <row r="285" spans="4:11" s="65" customFormat="1" ht="12.75">
      <c r="D285" s="65" t="s">
        <v>158</v>
      </c>
      <c r="H285" s="65">
        <v>0.014679</v>
      </c>
      <c r="I285" s="65">
        <v>0</v>
      </c>
      <c r="K285" s="69">
        <f>N184/1000*H285</f>
        <v>0</v>
      </c>
    </row>
    <row r="286" spans="4:11" s="65" customFormat="1" ht="12.75">
      <c r="D286" s="65" t="s">
        <v>196</v>
      </c>
      <c r="H286" s="65">
        <v>0.01631</v>
      </c>
      <c r="I286" s="65">
        <v>0</v>
      </c>
      <c r="K286" s="69">
        <f>N185/1000*H286</f>
        <v>0</v>
      </c>
    </row>
    <row r="287" spans="4:11" s="65" customFormat="1" ht="12.75">
      <c r="D287" s="65" t="s">
        <v>198</v>
      </c>
      <c r="K287" s="69">
        <f>N186/1000*H287</f>
        <v>0</v>
      </c>
    </row>
    <row r="288" spans="4:11" s="65" customFormat="1" ht="12.75">
      <c r="D288" s="65" t="s">
        <v>211</v>
      </c>
      <c r="K288" s="69"/>
    </row>
    <row r="289" spans="4:11" s="65" customFormat="1" ht="12.75">
      <c r="D289" s="65" t="s">
        <v>191</v>
      </c>
      <c r="K289" s="69"/>
    </row>
    <row r="290" spans="4:11" s="65" customFormat="1" ht="12.75">
      <c r="D290" s="65" t="s">
        <v>192</v>
      </c>
      <c r="K290" s="69"/>
    </row>
    <row r="291" spans="4:11" s="65" customFormat="1" ht="12.75">
      <c r="D291" s="65" t="s">
        <v>158</v>
      </c>
      <c r="K291" s="69">
        <f>N169/1000*H291</f>
        <v>0</v>
      </c>
    </row>
    <row r="292" spans="4:11" s="65" customFormat="1" ht="12.75">
      <c r="D292" s="65" t="s">
        <v>196</v>
      </c>
      <c r="H292" s="65">
        <v>0.01631</v>
      </c>
      <c r="I292" s="65">
        <v>0</v>
      </c>
      <c r="K292" s="69">
        <f>N170/1000*H292</f>
        <v>0.14271250000000002</v>
      </c>
    </row>
    <row r="293" spans="4:11" s="65" customFormat="1" ht="12.75">
      <c r="D293" s="65" t="s">
        <v>198</v>
      </c>
      <c r="H293" s="65">
        <v>0.017941</v>
      </c>
      <c r="I293" s="65">
        <v>0</v>
      </c>
      <c r="K293" s="69">
        <f>N171/1000*H293</f>
        <v>0</v>
      </c>
    </row>
    <row r="294" spans="5:11" s="65" customFormat="1" ht="12.75">
      <c r="E294" s="65" t="s">
        <v>201</v>
      </c>
      <c r="G294" s="65">
        <v>0</v>
      </c>
      <c r="I294" s="65">
        <v>0</v>
      </c>
      <c r="K294" s="69"/>
    </row>
    <row r="295" s="65" customFormat="1" ht="12.75">
      <c r="K295" s="69"/>
    </row>
    <row r="296" spans="1:11" s="65" customFormat="1" ht="12.75">
      <c r="A296" s="65" t="s">
        <v>231</v>
      </c>
      <c r="B296" s="65" t="s">
        <v>232</v>
      </c>
      <c r="D296" s="65" t="s">
        <v>203</v>
      </c>
      <c r="K296" s="69"/>
    </row>
    <row r="297" spans="2:11" s="65" customFormat="1" ht="12.75">
      <c r="B297" s="65" t="s">
        <v>233</v>
      </c>
      <c r="D297" s="65" t="s">
        <v>211</v>
      </c>
      <c r="K297" s="69"/>
    </row>
    <row r="298" spans="4:11" s="65" customFormat="1" ht="12.75">
      <c r="D298" s="65" t="s">
        <v>209</v>
      </c>
      <c r="K298" s="69"/>
    </row>
    <row r="299" spans="4:11" s="65" customFormat="1" ht="12.75">
      <c r="D299" s="65" t="s">
        <v>234</v>
      </c>
      <c r="K299" s="69"/>
    </row>
    <row r="300" spans="4:11" s="65" customFormat="1" ht="12.75">
      <c r="D300" s="65" t="s">
        <v>235</v>
      </c>
      <c r="F300" s="65" t="s">
        <v>236</v>
      </c>
      <c r="K300" s="69"/>
    </row>
    <row r="301" spans="4:11" s="65" customFormat="1" ht="12.75">
      <c r="D301" s="65" t="s">
        <v>191</v>
      </c>
      <c r="F301" s="65" t="s">
        <v>237</v>
      </c>
      <c r="K301" s="69"/>
    </row>
    <row r="302" spans="4:11" s="65" customFormat="1" ht="12.75">
      <c r="D302" s="65" t="s">
        <v>158</v>
      </c>
      <c r="H302" s="65">
        <v>41000</v>
      </c>
      <c r="I302" s="65">
        <v>0</v>
      </c>
      <c r="K302" s="69">
        <f>N197/H302</f>
        <v>0</v>
      </c>
    </row>
    <row r="303" spans="4:11" s="65" customFormat="1" ht="12.75">
      <c r="D303" s="65" t="s">
        <v>196</v>
      </c>
      <c r="H303" s="65">
        <v>39000</v>
      </c>
      <c r="I303" s="65">
        <v>0</v>
      </c>
      <c r="K303" s="69">
        <f>N198/H303</f>
        <v>0.22435897435897437</v>
      </c>
    </row>
    <row r="304" spans="4:11" s="65" customFormat="1" ht="12.75">
      <c r="D304" s="65" t="s">
        <v>198</v>
      </c>
      <c r="H304" s="65">
        <v>37000</v>
      </c>
      <c r="I304" s="65">
        <v>0</v>
      </c>
      <c r="K304" s="69">
        <f>N199/H304</f>
        <v>0</v>
      </c>
    </row>
    <row r="305" s="65" customFormat="1" ht="12.75">
      <c r="K305" s="69"/>
    </row>
    <row r="306" spans="4:11" s="65" customFormat="1" ht="12.75">
      <c r="D306" s="65" t="s">
        <v>238</v>
      </c>
      <c r="K306" s="69"/>
    </row>
    <row r="307" spans="4:11" s="65" customFormat="1" ht="12.75">
      <c r="D307" s="65" t="s">
        <v>239</v>
      </c>
      <c r="F307" s="65" t="s">
        <v>240</v>
      </c>
      <c r="K307" s="69"/>
    </row>
    <row r="308" spans="4:11" s="65" customFormat="1" ht="12.75">
      <c r="D308" s="65" t="s">
        <v>191</v>
      </c>
      <c r="K308" s="69"/>
    </row>
    <row r="309" spans="4:11" s="65" customFormat="1" ht="12.75">
      <c r="D309" s="65" t="s">
        <v>158</v>
      </c>
      <c r="H309" s="65">
        <v>450</v>
      </c>
      <c r="I309" s="65">
        <v>0</v>
      </c>
      <c r="K309" s="69">
        <f>N202/H309</f>
        <v>0</v>
      </c>
    </row>
    <row r="310" spans="4:11" s="65" customFormat="1" ht="12.75">
      <c r="D310" s="65" t="s">
        <v>196</v>
      </c>
      <c r="H310" s="65">
        <v>375</v>
      </c>
      <c r="I310" s="65">
        <v>0</v>
      </c>
      <c r="K310" s="69">
        <f>N203/H310</f>
        <v>0.3413333333333333</v>
      </c>
    </row>
    <row r="311" spans="4:11" s="65" customFormat="1" ht="12.75">
      <c r="D311" s="65" t="s">
        <v>198</v>
      </c>
      <c r="H311" s="65">
        <v>310</v>
      </c>
      <c r="I311" s="65">
        <v>0</v>
      </c>
      <c r="K311" s="69">
        <f>N204/H311</f>
        <v>0</v>
      </c>
    </row>
    <row r="312" spans="5:11" s="65" customFormat="1" ht="12.75">
      <c r="E312" s="65" t="s">
        <v>201</v>
      </c>
      <c r="G312" s="65">
        <v>0</v>
      </c>
      <c r="I312" s="65">
        <v>0</v>
      </c>
      <c r="K312" s="69"/>
    </row>
    <row r="313" s="65" customFormat="1" ht="12.75">
      <c r="K313" s="69"/>
    </row>
    <row r="314" spans="1:11" s="65" customFormat="1" ht="12.75">
      <c r="A314" s="65" t="s">
        <v>241</v>
      </c>
      <c r="B314" s="65" t="s">
        <v>242</v>
      </c>
      <c r="D314" s="65" t="s">
        <v>243</v>
      </c>
      <c r="K314" s="69"/>
    </row>
    <row r="315" spans="4:11" s="65" customFormat="1" ht="12.75">
      <c r="D315" s="65" t="s">
        <v>244</v>
      </c>
      <c r="F315" s="65" t="s">
        <v>240</v>
      </c>
      <c r="K315" s="69"/>
    </row>
    <row r="316" spans="4:11" s="65" customFormat="1" ht="12.75">
      <c r="D316" s="65" t="s">
        <v>245</v>
      </c>
      <c r="K316" s="69"/>
    </row>
    <row r="317" spans="4:11" s="65" customFormat="1" ht="12.75">
      <c r="D317" s="65" t="s">
        <v>158</v>
      </c>
      <c r="H317" s="65">
        <v>2350</v>
      </c>
      <c r="I317" s="65">
        <v>0</v>
      </c>
      <c r="K317" s="69">
        <f>N202/H317</f>
        <v>0</v>
      </c>
    </row>
    <row r="318" spans="4:11" s="65" customFormat="1" ht="12.75">
      <c r="D318" s="65" t="s">
        <v>196</v>
      </c>
      <c r="H318" s="65">
        <v>2250</v>
      </c>
      <c r="I318" s="65">
        <v>0</v>
      </c>
      <c r="K318" s="69">
        <f>N203/H318</f>
        <v>0.05688888888888889</v>
      </c>
    </row>
    <row r="319" spans="4:11" s="65" customFormat="1" ht="12.75">
      <c r="D319" s="65" t="s">
        <v>198</v>
      </c>
      <c r="H319" s="65">
        <v>2200</v>
      </c>
      <c r="I319" s="65">
        <v>0</v>
      </c>
      <c r="K319" s="69">
        <f>N204/H319</f>
        <v>0</v>
      </c>
    </row>
    <row r="320" spans="5:11" s="65" customFormat="1" ht="12.75">
      <c r="E320" s="65" t="s">
        <v>201</v>
      </c>
      <c r="G320" s="65">
        <v>0</v>
      </c>
      <c r="I320" s="65">
        <v>0</v>
      </c>
      <c r="K320" s="69"/>
    </row>
    <row r="321" s="65" customFormat="1" ht="12.75">
      <c r="K321" s="69">
        <f>K183+K184+K185+K193+K194+K195+K200+K201+K202+K206+K207+K208+K214+K215+K216+K220+K221+K222+K228+K229+K230+K234+K235+K236+K242+K243+K244+K248+K249+K250+K257+K258+K259+K263+K264+K265+K269+K270+K271+K278+K279+K280+K285+K286+K287+K291+K292+K293+K302+K303+K304+K309+K310+K311+K317+K318+K319</f>
        <v>1.5599869965811968</v>
      </c>
    </row>
    <row r="322" spans="1:11" s="65" customFormat="1" ht="12.75">
      <c r="A322" s="65" t="s">
        <v>246</v>
      </c>
      <c r="B322" s="65" t="s">
        <v>247</v>
      </c>
      <c r="F322" s="65" t="s">
        <v>248</v>
      </c>
      <c r="I322" s="65">
        <v>1</v>
      </c>
      <c r="K322" s="69">
        <f>K321*1.12</f>
        <v>1.7471854361709405</v>
      </c>
    </row>
    <row r="323" s="65" customFormat="1" ht="12.75">
      <c r="B323" s="65" t="s">
        <v>249</v>
      </c>
    </row>
    <row r="324" s="65" customFormat="1" ht="12.75">
      <c r="B324" s="65" t="s">
        <v>250</v>
      </c>
    </row>
    <row r="325" s="65" customFormat="1" ht="12.75"/>
    <row r="326" spans="1:9" s="65" customFormat="1" ht="12.75">
      <c r="A326" s="65" t="s">
        <v>251</v>
      </c>
      <c r="B326" s="65" t="s">
        <v>252</v>
      </c>
      <c r="I326" s="65">
        <v>2</v>
      </c>
    </row>
    <row r="327" spans="1:9" s="65" customFormat="1" ht="12.75">
      <c r="A327" s="65" t="s">
        <v>253</v>
      </c>
      <c r="B327" s="65" t="s">
        <v>254</v>
      </c>
      <c r="I327" s="65">
        <v>1</v>
      </c>
    </row>
    <row r="328" spans="1:9" s="65" customFormat="1" ht="12.75">
      <c r="A328" s="65" t="s">
        <v>255</v>
      </c>
      <c r="B328" s="65" t="s">
        <v>256</v>
      </c>
      <c r="I328" s="65">
        <v>1</v>
      </c>
    </row>
    <row r="329" spans="2:9" s="65" customFormat="1" ht="12.75">
      <c r="B329" s="65" t="s">
        <v>257</v>
      </c>
      <c r="I329" s="65">
        <v>5</v>
      </c>
    </row>
    <row r="330" s="65" customFormat="1" ht="12.75">
      <c r="F330" s="65" t="s">
        <v>258</v>
      </c>
    </row>
    <row r="331" spans="1:9" s="65" customFormat="1" ht="12.75">
      <c r="A331" s="65" t="s">
        <v>259</v>
      </c>
      <c r="B331" s="65" t="s">
        <v>260</v>
      </c>
      <c r="E331" s="65" t="s">
        <v>261</v>
      </c>
      <c r="H331" s="65">
        <v>1200</v>
      </c>
      <c r="I331" s="78">
        <f>G331/H331</f>
        <v>0</v>
      </c>
    </row>
    <row r="332" spans="5:9" s="65" customFormat="1" ht="12.75">
      <c r="E332" s="65" t="s">
        <v>262</v>
      </c>
      <c r="G332" s="65">
        <v>957</v>
      </c>
      <c r="H332" s="65">
        <v>1650</v>
      </c>
      <c r="I332" s="78">
        <f>G332/H332</f>
        <v>0.58</v>
      </c>
    </row>
    <row r="333" spans="5:9" s="65" customFormat="1" ht="12.75">
      <c r="E333" s="65" t="s">
        <v>263</v>
      </c>
      <c r="G333" s="65">
        <v>2804</v>
      </c>
      <c r="H333" s="65">
        <v>9000</v>
      </c>
      <c r="I333" s="78">
        <f>G333/H333</f>
        <v>0.31155555555555553</v>
      </c>
    </row>
    <row r="334" spans="3:9" s="65" customFormat="1" ht="12.75">
      <c r="C334" s="65" t="s">
        <v>201</v>
      </c>
      <c r="G334" s="65">
        <f>G331+G333</f>
        <v>2804</v>
      </c>
      <c r="I334" s="78">
        <f>I331+I332+I333</f>
        <v>0.8915555555555554</v>
      </c>
    </row>
    <row r="335" spans="6:9" s="65" customFormat="1" ht="12.75">
      <c r="F335" s="65" t="s">
        <v>258</v>
      </c>
      <c r="I335" s="78"/>
    </row>
    <row r="336" spans="1:9" s="65" customFormat="1" ht="12.75">
      <c r="A336" s="65" t="s">
        <v>264</v>
      </c>
      <c r="B336" s="65" t="s">
        <v>265</v>
      </c>
      <c r="E336" s="65" t="s">
        <v>266</v>
      </c>
      <c r="H336" s="65">
        <v>800</v>
      </c>
      <c r="I336" s="78">
        <f>G336/H336</f>
        <v>0</v>
      </c>
    </row>
    <row r="337" spans="2:9" s="65" customFormat="1" ht="12.75">
      <c r="B337" s="65" t="s">
        <v>267</v>
      </c>
      <c r="E337" s="65" t="s">
        <v>268</v>
      </c>
      <c r="G337" s="65">
        <v>638.9</v>
      </c>
      <c r="H337" s="65">
        <v>960</v>
      </c>
      <c r="I337" s="78">
        <f>G337/H337</f>
        <v>0.6655208333333333</v>
      </c>
    </row>
    <row r="338" spans="5:9" s="65" customFormat="1" ht="12.75">
      <c r="E338" s="65" t="s">
        <v>269</v>
      </c>
      <c r="I338" s="78"/>
    </row>
    <row r="339" spans="3:9" s="65" customFormat="1" ht="12.75">
      <c r="C339" s="65" t="s">
        <v>201</v>
      </c>
      <c r="G339" s="65">
        <f>G336+G337+G338</f>
        <v>638.9</v>
      </c>
      <c r="I339" s="78">
        <f>I336+I337</f>
        <v>0.6655208333333333</v>
      </c>
    </row>
    <row r="340" spans="6:9" s="65" customFormat="1" ht="12.75">
      <c r="F340" s="65" t="s">
        <v>270</v>
      </c>
      <c r="I340" s="78"/>
    </row>
    <row r="341" spans="1:9" s="65" customFormat="1" ht="12.75">
      <c r="A341" s="65" t="s">
        <v>271</v>
      </c>
      <c r="B341" s="65" t="s">
        <v>272</v>
      </c>
      <c r="E341" s="65" t="s">
        <v>273</v>
      </c>
      <c r="H341" s="65">
        <v>500</v>
      </c>
      <c r="I341" s="78">
        <f>G341/H341</f>
        <v>0</v>
      </c>
    </row>
    <row r="342" spans="5:9" s="65" customFormat="1" ht="12.75">
      <c r="E342" s="65" t="s">
        <v>274</v>
      </c>
      <c r="H342" s="65">
        <v>700</v>
      </c>
      <c r="I342" s="78">
        <f>G342/H342</f>
        <v>0</v>
      </c>
    </row>
    <row r="343" spans="5:9" s="65" customFormat="1" ht="12.75">
      <c r="E343" s="65" t="s">
        <v>275</v>
      </c>
      <c r="I343" s="78"/>
    </row>
    <row r="344" spans="3:9" s="65" customFormat="1" ht="12.75">
      <c r="C344" s="65" t="s">
        <v>201</v>
      </c>
      <c r="G344" s="65">
        <v>0</v>
      </c>
      <c r="I344" s="78">
        <f>I341+I342</f>
        <v>0</v>
      </c>
    </row>
    <row r="345" spans="1:2" s="65" customFormat="1" ht="12.75">
      <c r="A345" s="65" t="s">
        <v>276</v>
      </c>
      <c r="B345" s="65" t="s">
        <v>277</v>
      </c>
    </row>
    <row r="346" spans="2:9" s="65" customFormat="1" ht="12.75">
      <c r="B346" s="65" t="s">
        <v>278</v>
      </c>
      <c r="I346" s="65">
        <v>2</v>
      </c>
    </row>
    <row r="347" s="65" customFormat="1" ht="12.75"/>
  </sheetData>
  <sheetProtection/>
  <mergeCells count="51">
    <mergeCell ref="A143:G143"/>
    <mergeCell ref="A147:E147"/>
    <mergeCell ref="A149:G149"/>
    <mergeCell ref="A153:D153"/>
    <mergeCell ref="A1:K1"/>
    <mergeCell ref="A2:K2"/>
    <mergeCell ref="C134:I134"/>
    <mergeCell ref="C107:D107"/>
    <mergeCell ref="A111:F111"/>
    <mergeCell ref="A113:G113"/>
    <mergeCell ref="A115:D115"/>
    <mergeCell ref="E115:G115"/>
    <mergeCell ref="A117:E117"/>
    <mergeCell ref="A87:G87"/>
    <mergeCell ref="A96:D96"/>
    <mergeCell ref="A98:F98"/>
    <mergeCell ref="A102:E102"/>
    <mergeCell ref="A66:G66"/>
    <mergeCell ref="A68:G68"/>
    <mergeCell ref="A75:F75"/>
    <mergeCell ref="A78:E78"/>
    <mergeCell ref="A81:G81"/>
    <mergeCell ref="A85:G85"/>
    <mergeCell ref="A53:G53"/>
    <mergeCell ref="A54:G54"/>
    <mergeCell ref="A56:F56"/>
    <mergeCell ref="A58:F58"/>
    <mergeCell ref="A62:F62"/>
    <mergeCell ref="A64:F64"/>
    <mergeCell ref="A41:G41"/>
    <mergeCell ref="A43:G43"/>
    <mergeCell ref="A45:D45"/>
    <mergeCell ref="A47:G47"/>
    <mergeCell ref="A49:G49"/>
    <mergeCell ref="A51:G51"/>
    <mergeCell ref="A30:G30"/>
    <mergeCell ref="A31:G31"/>
    <mergeCell ref="A33:E33"/>
    <mergeCell ref="A35:G35"/>
    <mergeCell ref="A37:G37"/>
    <mergeCell ref="A39:G39"/>
    <mergeCell ref="A21:F21"/>
    <mergeCell ref="A22:F22"/>
    <mergeCell ref="A26:F26"/>
    <mergeCell ref="A27:G27"/>
    <mergeCell ref="A28:G28"/>
    <mergeCell ref="A29:G29"/>
    <mergeCell ref="A4:K4"/>
    <mergeCell ref="A5:K5"/>
    <mergeCell ref="A15:G15"/>
    <mergeCell ref="A20:F20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1 H143 K143 H149 H157" evalError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Q317"/>
  <sheetViews>
    <sheetView zoomScalePageLayoutView="0" workbookViewId="0" topLeftCell="A1">
      <selection activeCell="K114" sqref="K114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5742187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7" width="9.140625" style="65" customWidth="1"/>
    <col min="18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>
      <c r="A4" s="127" t="s">
        <v>603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4.25">
      <c r="A5" s="129" t="s">
        <v>573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4.25">
      <c r="A6" s="14" t="s">
        <v>539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7" s="9" customFormat="1" ht="15.75">
      <c r="A11" s="11"/>
      <c r="B11" s="11"/>
      <c r="C11" s="12"/>
      <c r="D11" s="11"/>
      <c r="K11" s="5"/>
      <c r="L11" s="67">
        <f>E14</f>
        <v>68853.5069072</v>
      </c>
      <c r="M11" s="67"/>
      <c r="N11" s="67"/>
      <c r="O11" s="67"/>
      <c r="P11" s="67"/>
      <c r="Q11" s="67"/>
    </row>
    <row r="12" spans="1:17" s="9" customFormat="1" ht="15.75">
      <c r="A12" s="11" t="s">
        <v>69</v>
      </c>
      <c r="B12" s="11"/>
      <c r="C12" s="12"/>
      <c r="D12" s="11"/>
      <c r="E12" s="9">
        <f>53600.32*1.042</f>
        <v>55851.53344</v>
      </c>
      <c r="F12" s="9" t="s">
        <v>70</v>
      </c>
      <c r="H12" s="13"/>
      <c r="I12" s="13"/>
      <c r="K12" s="13"/>
      <c r="L12" s="92">
        <f>(K18+K33+K49+K58+K70+K77)</f>
        <v>74628.5989427751</v>
      </c>
      <c r="M12" s="67"/>
      <c r="N12" s="67"/>
      <c r="O12" s="67"/>
      <c r="P12" s="67"/>
      <c r="Q12" s="67"/>
    </row>
    <row r="13" spans="1:17" s="9" customFormat="1" ht="15.75">
      <c r="A13" s="11" t="s">
        <v>420</v>
      </c>
      <c r="B13" s="11"/>
      <c r="C13" s="12"/>
      <c r="D13" s="11"/>
      <c r="E13" s="9">
        <f>9814.48*1.042</f>
        <v>10226.68816</v>
      </c>
      <c r="F13" s="9" t="s">
        <v>70</v>
      </c>
      <c r="H13" s="13"/>
      <c r="I13" s="13"/>
      <c r="K13" s="13"/>
      <c r="L13" s="67">
        <f>(L11-L12)*15%</f>
        <v>-866.263805336265</v>
      </c>
      <c r="M13" s="67"/>
      <c r="N13" s="67"/>
      <c r="O13" s="67"/>
      <c r="P13" s="67"/>
      <c r="Q13" s="67"/>
    </row>
    <row r="14" spans="1:17" s="9" customFormat="1" ht="15.75">
      <c r="A14" s="11" t="s">
        <v>421</v>
      </c>
      <c r="B14" s="11"/>
      <c r="C14" s="12"/>
      <c r="D14" s="11"/>
      <c r="E14" s="9">
        <f>(E12+E13)*1.042</f>
        <v>68853.5069072</v>
      </c>
      <c r="F14" s="9" t="s">
        <v>70</v>
      </c>
      <c r="H14" s="13"/>
      <c r="I14" s="13"/>
      <c r="K14" s="13"/>
      <c r="L14" s="67"/>
      <c r="M14" s="67"/>
      <c r="N14" s="67"/>
      <c r="O14" s="67"/>
      <c r="P14" s="67"/>
      <c r="Q14" s="67"/>
    </row>
    <row r="15" spans="3:17" s="9" customFormat="1" ht="15.75">
      <c r="C15" s="15" t="s">
        <v>71</v>
      </c>
      <c r="D15" s="15"/>
      <c r="K15" s="5"/>
      <c r="L15" s="67"/>
      <c r="M15" s="67"/>
      <c r="N15" s="67"/>
      <c r="O15" s="67"/>
      <c r="P15" s="67"/>
      <c r="Q15" s="67"/>
    </row>
    <row r="16" spans="1:13" ht="15.75">
      <c r="A16" s="114" t="s">
        <v>72</v>
      </c>
      <c r="B16" s="114"/>
      <c r="C16" s="114"/>
      <c r="D16" s="114"/>
      <c r="E16" s="114"/>
      <c r="F16" s="114"/>
      <c r="G16" s="114"/>
      <c r="H16" s="16"/>
      <c r="I16" s="16"/>
      <c r="J16" s="16"/>
      <c r="K16" s="17">
        <f>K18+K33+K58+K70+K77+K87+K49</f>
        <v>74742.33499277511</v>
      </c>
      <c r="L16" s="68"/>
      <c r="M16" s="65" t="s">
        <v>309</v>
      </c>
    </row>
    <row r="17" spans="1:13" ht="15.75">
      <c r="A17" s="15"/>
      <c r="B17" s="15"/>
      <c r="C17" s="19"/>
      <c r="D17" s="15"/>
      <c r="E17" s="15"/>
      <c r="F17" s="15"/>
      <c r="G17" s="15"/>
      <c r="H17" s="15"/>
      <c r="I17" s="15"/>
      <c r="J17" s="15"/>
      <c r="K17" s="18"/>
      <c r="L17" s="69"/>
      <c r="M17" s="65" t="s">
        <v>310</v>
      </c>
    </row>
    <row r="18" spans="1:15" ht="15.75">
      <c r="A18" s="20" t="s">
        <v>75</v>
      </c>
      <c r="B18" s="20"/>
      <c r="C18" s="20"/>
      <c r="D18" s="20"/>
      <c r="E18" s="20"/>
      <c r="F18" s="20"/>
      <c r="G18" s="20"/>
      <c r="H18" s="20"/>
      <c r="I18" s="21"/>
      <c r="J18" s="20"/>
      <c r="K18" s="21">
        <f>H20+H21+H22+H24+H26+H27+H28+H29+H30+H31</f>
        <v>14356.542213988054</v>
      </c>
      <c r="M18" s="65" t="s">
        <v>76</v>
      </c>
      <c r="O18" s="78">
        <f>I305</f>
        <v>1.5646666666666667</v>
      </c>
    </row>
    <row r="19" spans="1:15" ht="12.75">
      <c r="A19" s="22" t="s">
        <v>311</v>
      </c>
      <c r="B19" s="22"/>
      <c r="C19" s="22"/>
      <c r="D19" s="22"/>
      <c r="E19" s="22"/>
      <c r="F19" s="22"/>
      <c r="G19" s="22"/>
      <c r="H19" s="22"/>
      <c r="I19" s="22"/>
      <c r="J19" s="22">
        <v>2972395.8</v>
      </c>
      <c r="K19" s="23"/>
      <c r="M19" s="65" t="s">
        <v>78</v>
      </c>
      <c r="O19" s="78">
        <f>I310</f>
        <v>0.5510416666666667</v>
      </c>
    </row>
    <row r="20" spans="1:15" ht="12.75">
      <c r="A20" s="113" t="s">
        <v>312</v>
      </c>
      <c r="B20" s="113"/>
      <c r="C20" s="113"/>
      <c r="D20" s="113"/>
      <c r="E20" s="113"/>
      <c r="F20" s="113"/>
      <c r="G20" s="22"/>
      <c r="H20" s="23">
        <f>O18*2600*1.75*1.07</f>
        <v>7617.579666666667</v>
      </c>
      <c r="I20" s="22"/>
      <c r="J20" s="22"/>
      <c r="K20" s="23"/>
      <c r="M20" s="65" t="s">
        <v>80</v>
      </c>
      <c r="O20" s="78">
        <f>I315</f>
        <v>0.612</v>
      </c>
    </row>
    <row r="21" spans="1:15" ht="12.75">
      <c r="A21" s="113" t="s">
        <v>313</v>
      </c>
      <c r="B21" s="113"/>
      <c r="C21" s="113"/>
      <c r="D21" s="113"/>
      <c r="E21" s="113"/>
      <c r="F21" s="113"/>
      <c r="G21" s="22"/>
      <c r="H21" s="23">
        <f>O20*2600*1.07*1.5</f>
        <v>2553.876</v>
      </c>
      <c r="I21" s="22"/>
      <c r="J21" s="22"/>
      <c r="K21" s="23"/>
      <c r="M21" s="65" t="s">
        <v>314</v>
      </c>
      <c r="O21" s="65">
        <v>5548.1</v>
      </c>
    </row>
    <row r="22" spans="1:15" ht="11.25" customHeight="1">
      <c r="A22" s="113" t="s">
        <v>315</v>
      </c>
      <c r="B22" s="113"/>
      <c r="C22" s="113"/>
      <c r="D22" s="113"/>
      <c r="E22" s="113"/>
      <c r="F22" s="113"/>
      <c r="G22" s="22"/>
      <c r="H22" s="23">
        <f>O19*2203*1.3*1.07</f>
        <v>1688.5972052083334</v>
      </c>
      <c r="I22" s="22"/>
      <c r="J22" s="22"/>
      <c r="K22" s="23"/>
      <c r="M22" s="65" t="s">
        <v>83</v>
      </c>
      <c r="O22" s="65">
        <v>306</v>
      </c>
    </row>
    <row r="23" spans="1:13" ht="12.75" hidden="1">
      <c r="A23" s="22"/>
      <c r="B23" s="22"/>
      <c r="C23" s="22"/>
      <c r="D23" s="22"/>
      <c r="E23" s="22"/>
      <c r="F23" s="22"/>
      <c r="G23" s="22"/>
      <c r="H23" s="23"/>
      <c r="I23" s="22"/>
      <c r="J23" s="22"/>
      <c r="M23" s="65" t="s">
        <v>316</v>
      </c>
    </row>
    <row r="24" spans="1:16" ht="12.75">
      <c r="A24" s="23">
        <f>H20+H21+H22</f>
        <v>11860.052871875003</v>
      </c>
      <c r="B24" s="22" t="s">
        <v>84</v>
      </c>
      <c r="C24" s="22"/>
      <c r="D24" s="22"/>
      <c r="E24" s="22"/>
      <c r="F24" s="22"/>
      <c r="G24" s="22"/>
      <c r="H24" s="23">
        <f>(H20+H21+H22)*14.2%</f>
        <v>1684.1275078062502</v>
      </c>
      <c r="I24" s="22"/>
      <c r="J24" s="22">
        <v>781740.1</v>
      </c>
      <c r="K24" s="25"/>
      <c r="L24" s="70"/>
      <c r="M24" s="65" t="s">
        <v>85</v>
      </c>
      <c r="P24" s="65">
        <f>O24/2</f>
        <v>0</v>
      </c>
    </row>
    <row r="25" spans="1:16" ht="12.75">
      <c r="A25" s="22" t="s">
        <v>86</v>
      </c>
      <c r="B25" s="22"/>
      <c r="C25" s="22"/>
      <c r="D25" s="22"/>
      <c r="E25" s="22"/>
      <c r="F25" s="22"/>
      <c r="G25" s="22"/>
      <c r="H25" s="23"/>
      <c r="I25" s="22"/>
      <c r="J25" s="22">
        <v>113966.82</v>
      </c>
      <c r="K25" s="23"/>
      <c r="N25" s="65">
        <v>9</v>
      </c>
      <c r="P25" s="65">
        <f>O25/2</f>
        <v>0</v>
      </c>
    </row>
    <row r="26" spans="1:16" ht="12.75">
      <c r="A26" s="113" t="s">
        <v>574</v>
      </c>
      <c r="B26" s="113"/>
      <c r="C26" s="113"/>
      <c r="D26" s="113"/>
      <c r="E26" s="113"/>
      <c r="F26" s="113"/>
      <c r="G26" s="22"/>
      <c r="H26" s="23">
        <f>O21*0.057</f>
        <v>316.24170000000004</v>
      </c>
      <c r="I26" s="23"/>
      <c r="J26" s="22"/>
      <c r="K26" s="23"/>
      <c r="N26" s="65">
        <v>10</v>
      </c>
      <c r="P26" s="65">
        <f>O26/2</f>
        <v>0</v>
      </c>
    </row>
    <row r="27" spans="1:16" ht="12.75">
      <c r="A27" s="113" t="s">
        <v>575</v>
      </c>
      <c r="B27" s="113"/>
      <c r="C27" s="113"/>
      <c r="D27" s="113"/>
      <c r="E27" s="113"/>
      <c r="F27" s="113"/>
      <c r="G27" s="113"/>
      <c r="H27" s="23">
        <f>0.0018*O21</f>
        <v>9.98658</v>
      </c>
      <c r="I27" s="23"/>
      <c r="J27" s="22"/>
      <c r="K27" s="23"/>
      <c r="N27" s="65">
        <v>12</v>
      </c>
      <c r="P27" s="65">
        <f>O27/2</f>
        <v>0</v>
      </c>
    </row>
    <row r="28" spans="1:15" ht="12.75">
      <c r="A28" s="113" t="s">
        <v>576</v>
      </c>
      <c r="B28" s="113"/>
      <c r="C28" s="113"/>
      <c r="D28" s="113"/>
      <c r="E28" s="113"/>
      <c r="F28" s="113"/>
      <c r="G28" s="113"/>
      <c r="H28" s="23">
        <f>0.0063*O21*1.18*1.142</f>
        <v>47.1013051068</v>
      </c>
      <c r="I28" s="23"/>
      <c r="J28" s="22"/>
      <c r="K28" s="23"/>
      <c r="N28" s="65">
        <v>16</v>
      </c>
      <c r="O28" s="65">
        <v>2</v>
      </c>
    </row>
    <row r="29" spans="1:13" ht="12.75">
      <c r="A29" s="113" t="s">
        <v>577</v>
      </c>
      <c r="B29" s="113"/>
      <c r="C29" s="113"/>
      <c r="D29" s="113"/>
      <c r="E29" s="113"/>
      <c r="F29" s="113"/>
      <c r="G29" s="113"/>
      <c r="H29" s="23">
        <f>O21*0.005</f>
        <v>27.7405</v>
      </c>
      <c r="I29" s="22"/>
      <c r="J29" s="22"/>
      <c r="K29" s="23"/>
      <c r="M29" s="65" t="s">
        <v>90</v>
      </c>
    </row>
    <row r="30" spans="1:15" ht="12.75">
      <c r="A30" s="113" t="s">
        <v>578</v>
      </c>
      <c r="B30" s="113"/>
      <c r="C30" s="113"/>
      <c r="D30" s="113"/>
      <c r="E30" s="113"/>
      <c r="F30" s="113"/>
      <c r="G30" s="113"/>
      <c r="H30" s="23">
        <f>O21*0.017</f>
        <v>94.31770000000002</v>
      </c>
      <c r="I30" s="22"/>
      <c r="J30" s="22">
        <v>13606.82</v>
      </c>
      <c r="K30" s="23"/>
      <c r="M30" s="65" t="s">
        <v>92</v>
      </c>
      <c r="O30" s="65">
        <v>27</v>
      </c>
    </row>
    <row r="31" spans="1:15" ht="12.75">
      <c r="A31" s="113" t="s">
        <v>579</v>
      </c>
      <c r="B31" s="113"/>
      <c r="C31" s="113"/>
      <c r="D31" s="113"/>
      <c r="E31" s="113"/>
      <c r="F31" s="113"/>
      <c r="G31" s="113"/>
      <c r="H31" s="23">
        <f>0.054*O21*1.058</f>
        <v>316.9740492</v>
      </c>
      <c r="I31" s="22"/>
      <c r="J31" s="22"/>
      <c r="K31" s="23"/>
      <c r="M31" s="65" t="s">
        <v>94</v>
      </c>
      <c r="O31" s="65">
        <v>5300</v>
      </c>
    </row>
    <row r="32" spans="1:11" ht="12.75">
      <c r="A32" s="24"/>
      <c r="B32" s="24"/>
      <c r="C32" s="24"/>
      <c r="D32" s="24"/>
      <c r="E32" s="24"/>
      <c r="F32" s="24"/>
      <c r="G32" s="24"/>
      <c r="H32" s="23"/>
      <c r="I32" s="22"/>
      <c r="J32" s="22"/>
      <c r="K32" s="23"/>
    </row>
    <row r="33" spans="1:15" ht="15.75">
      <c r="A33" s="110" t="s">
        <v>95</v>
      </c>
      <c r="B33" s="110"/>
      <c r="C33" s="110"/>
      <c r="D33" s="110"/>
      <c r="E33" s="110"/>
      <c r="F33" s="20"/>
      <c r="G33" s="20"/>
      <c r="H33" s="27"/>
      <c r="I33" s="20"/>
      <c r="J33" s="20"/>
      <c r="K33" s="21">
        <f>H35+H36+H37+H38+H39+H40+H41+H42+H43+H44+H45+H46+H47</f>
        <v>20497.232253216214</v>
      </c>
      <c r="M33" s="65" t="s">
        <v>96</v>
      </c>
      <c r="O33" s="69">
        <f>K293</f>
        <v>1.5664649726382358</v>
      </c>
    </row>
    <row r="34" spans="1:11" ht="12.75">
      <c r="A34" s="22"/>
      <c r="B34" s="22" t="s">
        <v>64</v>
      </c>
      <c r="C34" s="22"/>
      <c r="D34" s="22"/>
      <c r="E34" s="22"/>
      <c r="F34" s="22"/>
      <c r="G34" s="22"/>
      <c r="H34" s="28"/>
      <c r="I34" s="22"/>
      <c r="J34" s="22"/>
      <c r="K34" s="29"/>
    </row>
    <row r="35" spans="1:11" ht="12.75">
      <c r="A35" s="113" t="s">
        <v>580</v>
      </c>
      <c r="B35" s="113"/>
      <c r="C35" s="113"/>
      <c r="D35" s="113"/>
      <c r="E35" s="113"/>
      <c r="F35" s="113"/>
      <c r="G35" s="113"/>
      <c r="H35" s="28">
        <f>(O22*1.5)/12*90.3*1.058</f>
        <v>3654.30555</v>
      </c>
      <c r="I35" s="22"/>
      <c r="J35" s="22"/>
      <c r="K35" s="29"/>
    </row>
    <row r="36" spans="1:12" ht="12.75">
      <c r="A36" s="113" t="s">
        <v>581</v>
      </c>
      <c r="B36" s="113"/>
      <c r="C36" s="113"/>
      <c r="D36" s="113"/>
      <c r="E36" s="113"/>
      <c r="F36" s="113"/>
      <c r="G36" s="113"/>
      <c r="H36" s="28">
        <f>O22*1.5*33.1/12*1.058</f>
        <v>1339.50735</v>
      </c>
      <c r="I36" s="22"/>
      <c r="J36" s="22"/>
      <c r="K36" s="29"/>
      <c r="L36" s="65">
        <f>1.16*O21</f>
        <v>6435.796</v>
      </c>
    </row>
    <row r="37" spans="1:11" ht="12.75">
      <c r="A37" s="113" t="s">
        <v>582</v>
      </c>
      <c r="B37" s="113"/>
      <c r="C37" s="113"/>
      <c r="D37" s="113"/>
      <c r="E37" s="113"/>
      <c r="F37" s="113"/>
      <c r="G37" s="113"/>
      <c r="H37" s="28">
        <f>O31*2.48</f>
        <v>13144</v>
      </c>
      <c r="I37" s="22"/>
      <c r="J37" s="22"/>
      <c r="K37" s="29"/>
    </row>
    <row r="38" spans="1:11" ht="12.75">
      <c r="A38" s="113" t="s">
        <v>326</v>
      </c>
      <c r="B38" s="113"/>
      <c r="C38" s="113"/>
      <c r="D38" s="113"/>
      <c r="E38" s="113"/>
      <c r="F38" s="113"/>
      <c r="G38" s="113"/>
      <c r="H38" s="28">
        <f>546.8*1.279/12</f>
        <v>58.27976666666666</v>
      </c>
      <c r="I38" s="22"/>
      <c r="J38" s="22"/>
      <c r="K38" s="29"/>
    </row>
    <row r="39" spans="1:11" ht="12.75">
      <c r="A39" s="113" t="s">
        <v>583</v>
      </c>
      <c r="B39" s="113"/>
      <c r="C39" s="113"/>
      <c r="D39" s="113"/>
      <c r="E39" s="113"/>
      <c r="F39" s="113"/>
      <c r="G39" s="113"/>
      <c r="H39" s="28">
        <f>O21*0.0027</f>
        <v>14.979870000000002</v>
      </c>
      <c r="I39" s="22"/>
      <c r="J39" s="22"/>
      <c r="K39" s="29"/>
    </row>
    <row r="40" spans="1:11" ht="12.75">
      <c r="A40" s="113" t="s">
        <v>584</v>
      </c>
      <c r="B40" s="113"/>
      <c r="C40" s="113"/>
      <c r="D40" s="113"/>
      <c r="E40" s="24"/>
      <c r="F40" s="24"/>
      <c r="G40" s="24"/>
      <c r="H40" s="28">
        <f>O21*0.216</f>
        <v>1198.3896</v>
      </c>
      <c r="I40" s="22"/>
      <c r="J40" s="22"/>
      <c r="K40" s="29"/>
    </row>
    <row r="41" spans="1:11" ht="12.75">
      <c r="A41" s="113" t="s">
        <v>329</v>
      </c>
      <c r="B41" s="113"/>
      <c r="C41" s="113"/>
      <c r="D41" s="113"/>
      <c r="E41" s="113"/>
      <c r="F41" s="113"/>
      <c r="G41" s="113"/>
      <c r="H41" s="28">
        <f>O30*4.81/12</f>
        <v>10.822499999999998</v>
      </c>
      <c r="I41" s="22"/>
      <c r="J41" s="22"/>
      <c r="K41" s="29"/>
    </row>
    <row r="42" spans="1:15" ht="12.75">
      <c r="A42" s="113" t="s">
        <v>585</v>
      </c>
      <c r="B42" s="113"/>
      <c r="C42" s="113"/>
      <c r="D42" s="113"/>
      <c r="E42" s="113"/>
      <c r="F42" s="113"/>
      <c r="G42" s="113"/>
      <c r="H42" s="28">
        <f>80*O42/12/3</f>
        <v>315.55555555555554</v>
      </c>
      <c r="I42" s="22"/>
      <c r="J42" s="22"/>
      <c r="K42" s="29"/>
      <c r="M42" s="65" t="s">
        <v>586</v>
      </c>
      <c r="O42" s="65">
        <v>142</v>
      </c>
    </row>
    <row r="43" spans="1:11" ht="12.75">
      <c r="A43" s="113" t="s">
        <v>587</v>
      </c>
      <c r="B43" s="113"/>
      <c r="C43" s="113"/>
      <c r="D43" s="113"/>
      <c r="E43" s="113"/>
      <c r="F43" s="113"/>
      <c r="G43" s="113"/>
      <c r="H43" s="28">
        <f>O21*0.027</f>
        <v>149.7987</v>
      </c>
      <c r="I43" s="22"/>
      <c r="J43" s="32"/>
      <c r="K43" s="29"/>
    </row>
    <row r="44" spans="1:11" ht="12.75">
      <c r="A44" s="113" t="s">
        <v>588</v>
      </c>
      <c r="B44" s="113"/>
      <c r="C44" s="113"/>
      <c r="D44" s="113"/>
      <c r="E44" s="113"/>
      <c r="F44" s="113"/>
      <c r="G44" s="113"/>
      <c r="H44" s="28">
        <f>O21*0.0165*1.18*1.142</f>
        <v>123.36056099400001</v>
      </c>
      <c r="I44" s="22"/>
      <c r="J44" s="22"/>
      <c r="K44" s="29"/>
    </row>
    <row r="45" spans="1:11" ht="12.75">
      <c r="A45" s="113" t="s">
        <v>589</v>
      </c>
      <c r="B45" s="113"/>
      <c r="C45" s="113"/>
      <c r="D45" s="113"/>
      <c r="E45" s="113"/>
      <c r="F45" s="113"/>
      <c r="G45" s="113"/>
      <c r="H45" s="28">
        <f>O21*0.021</f>
        <v>116.51010000000001</v>
      </c>
      <c r="I45" s="22"/>
      <c r="J45" s="22"/>
      <c r="K45" s="29"/>
    </row>
    <row r="46" spans="1:11" ht="12.75">
      <c r="A46" s="113" t="s">
        <v>590</v>
      </c>
      <c r="B46" s="113"/>
      <c r="C46" s="113"/>
      <c r="D46" s="113"/>
      <c r="E46" s="113"/>
      <c r="F46" s="113"/>
      <c r="G46" s="24"/>
      <c r="H46" s="28">
        <f>O21*0.053</f>
        <v>294.0493</v>
      </c>
      <c r="I46" s="22"/>
      <c r="J46" s="22"/>
      <c r="K46" s="29"/>
    </row>
    <row r="47" spans="1:11" ht="12.75">
      <c r="A47" s="113" t="s">
        <v>591</v>
      </c>
      <c r="B47" s="113"/>
      <c r="C47" s="113"/>
      <c r="D47" s="113"/>
      <c r="E47" s="113"/>
      <c r="F47" s="113"/>
      <c r="G47" s="24"/>
      <c r="H47" s="28">
        <f>O21*0.014</f>
        <v>77.6734</v>
      </c>
      <c r="I47" s="22"/>
      <c r="J47" s="22"/>
      <c r="K47" s="29"/>
    </row>
    <row r="48" spans="1:11" ht="12.75">
      <c r="A48" s="24"/>
      <c r="B48" s="24"/>
      <c r="C48" s="24"/>
      <c r="D48" s="24"/>
      <c r="E48" s="24"/>
      <c r="F48" s="24"/>
      <c r="G48" s="24"/>
      <c r="H48" s="28"/>
      <c r="I48" s="22"/>
      <c r="J48" s="22"/>
      <c r="K48" s="29"/>
    </row>
    <row r="49" spans="1:11" ht="15.75">
      <c r="A49" s="86" t="s">
        <v>148</v>
      </c>
      <c r="B49" s="86"/>
      <c r="C49" s="86"/>
      <c r="D49" s="86"/>
      <c r="E49" s="86"/>
      <c r="F49" s="86"/>
      <c r="G49" s="86"/>
      <c r="H49" s="87"/>
      <c r="I49" s="88"/>
      <c r="J49" s="88">
        <v>9460.05</v>
      </c>
      <c r="K49" s="89">
        <f>H51+H52+H53+H55+H56</f>
        <v>12147.236696969696</v>
      </c>
    </row>
    <row r="50" spans="1:11" ht="12.75">
      <c r="A50" s="24"/>
      <c r="B50" s="24" t="s">
        <v>64</v>
      </c>
      <c r="C50" s="24"/>
      <c r="D50" s="24"/>
      <c r="E50" s="24"/>
      <c r="F50" s="24"/>
      <c r="G50" s="24"/>
      <c r="H50" s="28"/>
      <c r="I50" s="22"/>
      <c r="J50" s="22"/>
      <c r="K50" s="29"/>
    </row>
    <row r="51" spans="1:13" ht="12.75">
      <c r="A51" s="113" t="s">
        <v>592</v>
      </c>
      <c r="B51" s="113"/>
      <c r="C51" s="113"/>
      <c r="D51" s="113"/>
      <c r="E51" s="113"/>
      <c r="F51" s="113"/>
      <c r="G51" s="24"/>
      <c r="H51" s="28">
        <f>O21*2.07</f>
        <v>11484.567</v>
      </c>
      <c r="I51" s="22"/>
      <c r="J51" s="22"/>
      <c r="K51" s="29"/>
      <c r="M51" s="65">
        <v>18024</v>
      </c>
    </row>
    <row r="52" spans="1:11" ht="12.75">
      <c r="A52" s="113" t="s">
        <v>337</v>
      </c>
      <c r="B52" s="113"/>
      <c r="C52" s="113"/>
      <c r="D52" s="113"/>
      <c r="E52" s="113"/>
      <c r="F52" s="113"/>
      <c r="G52" s="24"/>
      <c r="H52" s="28">
        <f>1884*2/12</f>
        <v>314</v>
      </c>
      <c r="I52" s="22"/>
      <c r="J52" s="22"/>
      <c r="K52" s="29"/>
    </row>
    <row r="53" spans="1:11" ht="12.75">
      <c r="A53" s="113" t="s">
        <v>338</v>
      </c>
      <c r="B53" s="113"/>
      <c r="C53" s="113"/>
      <c r="D53" s="113"/>
      <c r="E53" s="113"/>
      <c r="F53" s="113"/>
      <c r="G53" s="113"/>
      <c r="H53" s="28">
        <f>1882*2/12</f>
        <v>313.6666666666667</v>
      </c>
      <c r="I53" s="22"/>
      <c r="J53" s="22"/>
      <c r="K53" s="29"/>
    </row>
    <row r="54" spans="1:11" ht="12.75">
      <c r="A54" s="24"/>
      <c r="B54" s="24"/>
      <c r="C54" s="24"/>
      <c r="D54" s="24"/>
      <c r="E54" s="24"/>
      <c r="F54" s="24"/>
      <c r="G54" s="24"/>
      <c r="H54" s="28"/>
      <c r="I54" s="22"/>
      <c r="J54" s="22"/>
      <c r="K54" s="29"/>
    </row>
    <row r="55" spans="1:11" ht="12.75">
      <c r="A55" s="113" t="s">
        <v>339</v>
      </c>
      <c r="B55" s="113"/>
      <c r="C55" s="113"/>
      <c r="D55" s="113"/>
      <c r="E55" s="113"/>
      <c r="F55" s="113"/>
      <c r="G55" s="113"/>
      <c r="H55" s="28">
        <f>56.4*2/2/12</f>
        <v>4.7</v>
      </c>
      <c r="I55" s="22"/>
      <c r="J55" s="22"/>
      <c r="K55" s="29"/>
    </row>
    <row r="56" spans="1:11" ht="12.75">
      <c r="A56" s="24" t="s">
        <v>340</v>
      </c>
      <c r="B56" s="24"/>
      <c r="C56" s="24"/>
      <c r="D56" s="24"/>
      <c r="E56" s="24"/>
      <c r="F56" s="24"/>
      <c r="G56" s="24"/>
      <c r="H56" s="28">
        <f>6000/33*2/12</f>
        <v>30.3030303030303</v>
      </c>
      <c r="I56" s="22"/>
      <c r="J56" s="22"/>
      <c r="K56" s="29"/>
    </row>
    <row r="57" spans="1:11" ht="12.75">
      <c r="A57" s="24"/>
      <c r="B57" s="24"/>
      <c r="C57" s="24"/>
      <c r="D57" s="24"/>
      <c r="E57" s="24"/>
      <c r="F57" s="24"/>
      <c r="G57" s="24"/>
      <c r="H57" s="28"/>
      <c r="I57" s="22"/>
      <c r="J57" s="22"/>
      <c r="K57" s="29"/>
    </row>
    <row r="58" spans="1:13" ht="15.75">
      <c r="A58" s="20" t="s">
        <v>111</v>
      </c>
      <c r="B58" s="20"/>
      <c r="C58" s="20"/>
      <c r="D58" s="20"/>
      <c r="E58" s="20"/>
      <c r="F58" s="20"/>
      <c r="G58" s="20"/>
      <c r="H58" s="27"/>
      <c r="I58" s="20"/>
      <c r="J58" s="20"/>
      <c r="K58" s="21">
        <f>H61+H63+H64+H65+H66+H67+H68</f>
        <v>17824.649888601154</v>
      </c>
      <c r="M58" s="71">
        <f>K58/309084*O21</f>
        <v>319.95489914375406</v>
      </c>
    </row>
    <row r="59" spans="1:11" ht="12.75">
      <c r="A59" s="22"/>
      <c r="B59" s="22" t="s">
        <v>64</v>
      </c>
      <c r="C59" s="22"/>
      <c r="D59" s="22"/>
      <c r="E59" s="22"/>
      <c r="F59" s="22"/>
      <c r="G59" s="22"/>
      <c r="H59" s="28"/>
      <c r="I59" s="22"/>
      <c r="J59" s="22"/>
      <c r="K59" s="29"/>
    </row>
    <row r="60" spans="1:11" ht="12.75">
      <c r="A60" s="33" t="s">
        <v>112</v>
      </c>
      <c r="B60" s="33"/>
      <c r="C60" s="33"/>
      <c r="D60" s="33"/>
      <c r="E60" s="33"/>
      <c r="F60" s="33"/>
      <c r="G60" s="33"/>
      <c r="H60" s="34"/>
      <c r="I60" s="33"/>
      <c r="J60" s="33"/>
      <c r="K60" s="35"/>
    </row>
    <row r="61" spans="1:13" ht="12.75">
      <c r="A61" s="111" t="s">
        <v>593</v>
      </c>
      <c r="B61" s="111"/>
      <c r="C61" s="111"/>
      <c r="D61" s="111"/>
      <c r="E61" s="111"/>
      <c r="F61" s="111"/>
      <c r="G61" s="36"/>
      <c r="H61" s="37">
        <f>K293*24.48*165.1*1.5*1.07</f>
        <v>10161.415538092077</v>
      </c>
      <c r="I61" s="38"/>
      <c r="J61" s="38"/>
      <c r="K61" s="35"/>
      <c r="M61" s="69">
        <f>K293</f>
        <v>1.5664649726382358</v>
      </c>
    </row>
    <row r="62" spans="1:11" ht="12.75">
      <c r="A62" s="33" t="s">
        <v>114</v>
      </c>
      <c r="B62" s="33"/>
      <c r="C62" s="33"/>
      <c r="D62" s="33"/>
      <c r="E62" s="33"/>
      <c r="F62" s="33"/>
      <c r="G62" s="33"/>
      <c r="H62" s="34"/>
      <c r="I62" s="33"/>
      <c r="J62" s="33"/>
      <c r="K62" s="35"/>
    </row>
    <row r="63" spans="1:11" ht="12.75">
      <c r="A63" s="39">
        <f>H61</f>
        <v>10161.415538092077</v>
      </c>
      <c r="B63" s="36" t="s">
        <v>115</v>
      </c>
      <c r="C63" s="36"/>
      <c r="D63" s="36"/>
      <c r="E63" s="36"/>
      <c r="F63" s="36"/>
      <c r="G63" s="38"/>
      <c r="H63" s="37">
        <f>H61*14.2%</f>
        <v>1442.9210064090748</v>
      </c>
      <c r="I63" s="38"/>
      <c r="J63" s="38"/>
      <c r="K63" s="35"/>
    </row>
    <row r="64" spans="1:11" ht="12.75">
      <c r="A64" s="30" t="s">
        <v>594</v>
      </c>
      <c r="B64" s="30"/>
      <c r="C64" s="30"/>
      <c r="D64" s="30"/>
      <c r="E64" s="30"/>
      <c r="F64" s="40"/>
      <c r="G64" s="40"/>
      <c r="H64" s="37">
        <f>0.04*O21</f>
        <v>221.924</v>
      </c>
      <c r="I64" s="38"/>
      <c r="J64" s="38"/>
      <c r="K64" s="35"/>
    </row>
    <row r="65" spans="1:11" ht="12.75">
      <c r="A65" s="108" t="s">
        <v>595</v>
      </c>
      <c r="B65" s="108"/>
      <c r="C65" s="108"/>
      <c r="D65" s="108"/>
      <c r="E65" s="108"/>
      <c r="F65" s="108"/>
      <c r="G65" s="108"/>
      <c r="H65" s="37">
        <f>0.97*O21</f>
        <v>5381.657</v>
      </c>
      <c r="I65" s="38"/>
      <c r="J65" s="38"/>
      <c r="K65" s="35"/>
    </row>
    <row r="66" spans="1:11" ht="12.75">
      <c r="A66" s="90" t="s">
        <v>596</v>
      </c>
      <c r="B66" s="90"/>
      <c r="C66" s="90"/>
      <c r="D66" s="90"/>
      <c r="E66" s="90"/>
      <c r="F66" s="30"/>
      <c r="G66" s="30"/>
      <c r="H66" s="37">
        <f>0.0037*O21</f>
        <v>20.527970000000003</v>
      </c>
      <c r="I66" s="38"/>
      <c r="J66" s="38"/>
      <c r="K66" s="35"/>
    </row>
    <row r="67" spans="1:12" ht="12.75">
      <c r="A67" s="108" t="s">
        <v>597</v>
      </c>
      <c r="B67" s="108"/>
      <c r="C67" s="108"/>
      <c r="D67" s="108"/>
      <c r="E67" s="108"/>
      <c r="F67" s="108"/>
      <c r="G67" s="108"/>
      <c r="H67" s="37">
        <f>O21*0.082</f>
        <v>454.9442</v>
      </c>
      <c r="I67" s="38"/>
      <c r="J67" s="38"/>
      <c r="K67" s="35"/>
      <c r="L67" s="69"/>
    </row>
    <row r="68" spans="1:13" ht="12.75">
      <c r="A68" s="108" t="s">
        <v>598</v>
      </c>
      <c r="B68" s="108"/>
      <c r="C68" s="108"/>
      <c r="D68" s="108"/>
      <c r="E68" s="108"/>
      <c r="F68" s="108"/>
      <c r="G68" s="108"/>
      <c r="H68" s="31">
        <f>O21*0.023*1.107</f>
        <v>141.2601741</v>
      </c>
      <c r="I68" s="33"/>
      <c r="J68" s="33"/>
      <c r="K68" s="35"/>
      <c r="M68" s="65">
        <f>36646.37/309083*O21</f>
        <v>657.8094731738724</v>
      </c>
    </row>
    <row r="69" spans="1:11" ht="12.75">
      <c r="A69" s="38"/>
      <c r="B69" s="38"/>
      <c r="C69" s="38"/>
      <c r="D69" s="40"/>
      <c r="E69" s="40"/>
      <c r="F69" s="40"/>
      <c r="G69" s="38"/>
      <c r="H69" s="37"/>
      <c r="I69" s="40"/>
      <c r="J69" s="40"/>
      <c r="K69" s="122"/>
    </row>
    <row r="70" spans="1:15" ht="15.75">
      <c r="A70" s="110" t="s">
        <v>121</v>
      </c>
      <c r="B70" s="110"/>
      <c r="C70" s="110"/>
      <c r="D70" s="110"/>
      <c r="E70" s="42"/>
      <c r="F70" s="42"/>
      <c r="G70" s="20"/>
      <c r="H70" s="27"/>
      <c r="I70" s="20"/>
      <c r="J70" s="20"/>
      <c r="K70" s="21">
        <f>H72+H73+H74+H75</f>
        <v>4565.53149</v>
      </c>
      <c r="M70" s="72">
        <f>51932.37/301083*O21</f>
        <v>956.9652952740607</v>
      </c>
      <c r="O70" s="65">
        <v>4536.42</v>
      </c>
    </row>
    <row r="71" spans="1:11" ht="12.75">
      <c r="A71" s="111" t="s">
        <v>122</v>
      </c>
      <c r="B71" s="111"/>
      <c r="C71" s="111"/>
      <c r="D71" s="111"/>
      <c r="E71" s="111"/>
      <c r="F71" s="111"/>
      <c r="G71" s="36"/>
      <c r="H71" s="37"/>
      <c r="I71" s="36"/>
      <c r="J71" s="36"/>
      <c r="K71" s="91"/>
    </row>
    <row r="72" spans="1:11" ht="12.75">
      <c r="A72" s="36" t="s">
        <v>599</v>
      </c>
      <c r="B72" s="36"/>
      <c r="C72" s="36"/>
      <c r="D72" s="36"/>
      <c r="E72" s="36"/>
      <c r="F72" s="36"/>
      <c r="G72" s="36"/>
      <c r="H72" s="37">
        <f>0.2227*O21</f>
        <v>1235.5618700000002</v>
      </c>
      <c r="I72" s="36"/>
      <c r="J72" s="36"/>
      <c r="K72" s="91"/>
    </row>
    <row r="73" spans="1:11" ht="12.75">
      <c r="A73" s="30" t="s">
        <v>600</v>
      </c>
      <c r="B73" s="43"/>
      <c r="C73" s="30"/>
      <c r="D73" s="30"/>
      <c r="E73" s="44"/>
      <c r="F73" s="38"/>
      <c r="G73" s="38"/>
      <c r="H73" s="37">
        <f>0.0257*O21</f>
        <v>142.58617</v>
      </c>
      <c r="I73" s="38"/>
      <c r="J73" s="38"/>
      <c r="K73" s="91"/>
    </row>
    <row r="74" spans="1:11" ht="12.75">
      <c r="A74" s="111" t="s">
        <v>601</v>
      </c>
      <c r="B74" s="111"/>
      <c r="C74" s="111"/>
      <c r="D74" s="111"/>
      <c r="E74" s="111"/>
      <c r="F74" s="38"/>
      <c r="G74" s="38"/>
      <c r="H74" s="37">
        <f>0.0945*O21</f>
        <v>524.2954500000001</v>
      </c>
      <c r="I74" s="38"/>
      <c r="J74" s="38"/>
      <c r="K74" s="91"/>
    </row>
    <row r="75" spans="1:11" ht="12.75">
      <c r="A75" s="36" t="s">
        <v>602</v>
      </c>
      <c r="B75" s="36"/>
      <c r="C75" s="36"/>
      <c r="D75" s="36"/>
      <c r="E75" s="36"/>
      <c r="F75" s="38"/>
      <c r="G75" s="38"/>
      <c r="H75" s="37">
        <f>0.48*O21</f>
        <v>2663.088</v>
      </c>
      <c r="I75" s="38"/>
      <c r="J75" s="38"/>
      <c r="K75" s="91"/>
    </row>
    <row r="76" spans="1:11" ht="12.75">
      <c r="A76" s="30"/>
      <c r="B76" s="30"/>
      <c r="C76" s="30"/>
      <c r="D76" s="30"/>
      <c r="E76" s="30"/>
      <c r="F76" s="30"/>
      <c r="G76" s="30"/>
      <c r="H76" s="37"/>
      <c r="I76" s="38"/>
      <c r="J76" s="38"/>
      <c r="K76" s="35"/>
    </row>
    <row r="77" spans="1:13" ht="15.75">
      <c r="A77" s="26" t="s">
        <v>127</v>
      </c>
      <c r="B77" s="26"/>
      <c r="C77" s="26"/>
      <c r="D77" s="26"/>
      <c r="E77" s="26"/>
      <c r="F77" s="26"/>
      <c r="G77" s="26"/>
      <c r="H77" s="46"/>
      <c r="I77" s="20"/>
      <c r="J77" s="20"/>
      <c r="K77" s="21">
        <f>O21*0.944</f>
        <v>5237.4064</v>
      </c>
      <c r="M77" s="71">
        <f>231179.9/309083*O21</f>
        <v>4149.724194439681</v>
      </c>
    </row>
    <row r="78" spans="1:11" ht="15.75">
      <c r="A78" s="47"/>
      <c r="B78" s="47"/>
      <c r="C78" s="112" t="s">
        <v>64</v>
      </c>
      <c r="D78" s="112"/>
      <c r="E78" s="47"/>
      <c r="F78" s="47"/>
      <c r="G78" s="47"/>
      <c r="H78" s="48"/>
      <c r="I78" s="47"/>
      <c r="J78" s="47"/>
      <c r="K78" s="49"/>
    </row>
    <row r="79" spans="1:11" ht="12.75">
      <c r="A79" s="30" t="s">
        <v>128</v>
      </c>
      <c r="B79" s="30"/>
      <c r="C79" s="30"/>
      <c r="D79" s="30"/>
      <c r="E79" s="30"/>
      <c r="F79" s="30"/>
      <c r="G79" s="30"/>
      <c r="H79" s="37"/>
      <c r="I79" s="38"/>
      <c r="J79" s="38"/>
      <c r="K79" s="35"/>
    </row>
    <row r="80" spans="1:11" ht="12.75">
      <c r="A80" s="30" t="s">
        <v>129</v>
      </c>
      <c r="B80" s="43"/>
      <c r="C80" s="30"/>
      <c r="D80" s="30"/>
      <c r="E80" s="30"/>
      <c r="F80" s="44"/>
      <c r="G80" s="44"/>
      <c r="H80" s="37"/>
      <c r="I80" s="38"/>
      <c r="J80" s="38"/>
      <c r="K80" s="35"/>
    </row>
    <row r="81" spans="1:11" ht="12.75">
      <c r="A81" s="108" t="s">
        <v>130</v>
      </c>
      <c r="B81" s="108"/>
      <c r="C81" s="108"/>
      <c r="D81" s="108"/>
      <c r="E81" s="108"/>
      <c r="F81" s="108"/>
      <c r="G81" s="44"/>
      <c r="H81" s="37"/>
      <c r="I81" s="38"/>
      <c r="J81" s="38"/>
      <c r="K81" s="35"/>
    </row>
    <row r="82" spans="1:11" ht="12.75">
      <c r="A82" s="108" t="s">
        <v>131</v>
      </c>
      <c r="B82" s="108"/>
      <c r="C82" s="108"/>
      <c r="D82" s="108"/>
      <c r="E82" s="108"/>
      <c r="F82" s="108"/>
      <c r="G82" s="108"/>
      <c r="H82" s="37"/>
      <c r="I82" s="38"/>
      <c r="J82" s="38"/>
      <c r="K82" s="35"/>
    </row>
    <row r="83" spans="1:11" ht="12.75">
      <c r="A83" s="108" t="s">
        <v>132</v>
      </c>
      <c r="B83" s="108"/>
      <c r="C83" s="108"/>
      <c r="D83" s="108"/>
      <c r="E83" s="109"/>
      <c r="F83" s="109"/>
      <c r="G83" s="109"/>
      <c r="H83" s="37"/>
      <c r="I83" s="38"/>
      <c r="J83" s="38"/>
      <c r="K83" s="35"/>
    </row>
    <row r="84" spans="1:11" ht="12.75">
      <c r="A84" s="108" t="s">
        <v>133</v>
      </c>
      <c r="B84" s="108"/>
      <c r="C84" s="108"/>
      <c r="D84" s="108"/>
      <c r="E84" s="108"/>
      <c r="F84" s="44"/>
      <c r="G84" s="44"/>
      <c r="H84" s="37"/>
      <c r="I84" s="38"/>
      <c r="J84" s="38"/>
      <c r="K84" s="35"/>
    </row>
    <row r="85" spans="1:14" ht="12.75">
      <c r="A85" s="44" t="s">
        <v>134</v>
      </c>
      <c r="B85" s="44"/>
      <c r="C85" s="44"/>
      <c r="D85" s="44"/>
      <c r="E85" s="44"/>
      <c r="F85" s="44"/>
      <c r="G85" s="44"/>
      <c r="H85" s="37"/>
      <c r="I85" s="38"/>
      <c r="J85" s="38"/>
      <c r="K85" s="35"/>
      <c r="N85" s="69">
        <f>K18+K33+K49+K58+K70+K77</f>
        <v>74628.5989427751</v>
      </c>
    </row>
    <row r="86" spans="1:14" ht="12.75">
      <c r="A86" s="22"/>
      <c r="B86" s="22"/>
      <c r="C86" s="22"/>
      <c r="D86" s="22"/>
      <c r="E86" s="22"/>
      <c r="F86" s="22"/>
      <c r="G86" s="22"/>
      <c r="H86" s="28"/>
      <c r="I86" s="22"/>
      <c r="J86" s="22"/>
      <c r="K86" s="29"/>
      <c r="N86" s="65">
        <f>E14*97%</f>
        <v>66787.901699984</v>
      </c>
    </row>
    <row r="87" spans="1:14" ht="15.75">
      <c r="A87" s="20" t="s">
        <v>135</v>
      </c>
      <c r="B87" s="20"/>
      <c r="C87" s="20"/>
      <c r="D87" s="20"/>
      <c r="E87" s="20"/>
      <c r="F87" s="51"/>
      <c r="G87" s="51"/>
      <c r="H87" s="52"/>
      <c r="I87" s="51"/>
      <c r="J87" s="51"/>
      <c r="K87" s="21">
        <f>0.0205*O21</f>
        <v>113.73605</v>
      </c>
      <c r="L87" s="72">
        <f>(E14-(K18+K33+K49+K58+K70+K77))*0.15</f>
        <v>-866.263805336265</v>
      </c>
      <c r="M87" s="72">
        <v>113.74</v>
      </c>
      <c r="N87" s="65">
        <f>(E14-N85)*0.15</f>
        <v>-866.263805336265</v>
      </c>
    </row>
    <row r="88" spans="1:13" ht="15.75">
      <c r="A88" s="54"/>
      <c r="B88" s="54"/>
      <c r="C88" s="54"/>
      <c r="D88" s="54"/>
      <c r="E88" s="54"/>
      <c r="F88" s="53"/>
      <c r="G88" s="53"/>
      <c r="H88" s="55"/>
      <c r="I88" s="53"/>
      <c r="J88" s="53"/>
      <c r="K88" s="56"/>
      <c r="L88" s="72"/>
      <c r="M88" s="72"/>
    </row>
    <row r="89" spans="1:11" ht="15.75">
      <c r="A89" s="57" t="s">
        <v>136</v>
      </c>
      <c r="B89" s="57"/>
      <c r="C89" s="57"/>
      <c r="D89" s="58"/>
      <c r="E89" s="58"/>
      <c r="F89" s="58"/>
      <c r="G89" s="58"/>
      <c r="H89" s="59"/>
      <c r="I89" s="58"/>
      <c r="J89" s="58"/>
      <c r="K89" s="60">
        <f>K16*6%</f>
        <v>4484.540099566507</v>
      </c>
    </row>
    <row r="90" spans="1:11" ht="15.75">
      <c r="A90" s="57"/>
      <c r="B90" s="57"/>
      <c r="C90" s="57"/>
      <c r="D90" s="58"/>
      <c r="E90" s="58"/>
      <c r="F90" s="58"/>
      <c r="G90" s="58"/>
      <c r="H90" s="59"/>
      <c r="I90" s="58"/>
      <c r="J90" s="58"/>
      <c r="K90" s="60"/>
    </row>
    <row r="91" spans="1:11" ht="15.75">
      <c r="A91" s="63" t="s">
        <v>137</v>
      </c>
      <c r="B91" s="63"/>
      <c r="C91" s="63"/>
      <c r="D91" s="63"/>
      <c r="E91" s="63"/>
      <c r="F91" s="63"/>
      <c r="G91" s="63"/>
      <c r="H91" s="63"/>
      <c r="I91" s="63"/>
      <c r="J91" s="63"/>
      <c r="K91" s="64">
        <f>K89+K16</f>
        <v>79226.87509234162</v>
      </c>
    </row>
    <row r="92" spans="1:11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2" ht="15.75">
      <c r="A93" s="63" t="s">
        <v>138</v>
      </c>
      <c r="B93" s="63"/>
      <c r="C93" s="63"/>
      <c r="D93" s="63"/>
      <c r="E93" s="63"/>
      <c r="F93" s="63"/>
      <c r="G93" s="63"/>
      <c r="H93" s="63"/>
      <c r="I93" s="63"/>
      <c r="J93" s="63"/>
      <c r="K93" s="64">
        <f>K91/O21</f>
        <v>14.28000127833702</v>
      </c>
      <c r="L93" s="65" t="s">
        <v>70</v>
      </c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4"/>
    </row>
    <row r="96" spans="1:11" ht="15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t="15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4"/>
    </row>
    <row r="98" spans="1:11" ht="15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4"/>
    </row>
    <row r="99" spans="1:11" ht="15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4"/>
    </row>
    <row r="105" spans="3:9" s="65" customFormat="1" ht="15.75">
      <c r="C105" s="106" t="s">
        <v>139</v>
      </c>
      <c r="D105" s="107"/>
      <c r="E105" s="107"/>
      <c r="F105" s="107"/>
      <c r="G105" s="107"/>
      <c r="H105" s="107"/>
      <c r="I105" s="107"/>
    </row>
    <row r="106" spans="3:9" s="65" customFormat="1" ht="15.75">
      <c r="C106" s="74" t="s">
        <v>140</v>
      </c>
      <c r="D106" s="74" t="s">
        <v>141</v>
      </c>
      <c r="E106" s="74"/>
      <c r="F106" s="74"/>
      <c r="G106" s="75"/>
      <c r="H106" s="75"/>
      <c r="I106" s="75"/>
    </row>
    <row r="107" s="65" customFormat="1" ht="12.75"/>
    <row r="108" s="65" customFormat="1" ht="12.75">
      <c r="E108" s="65" t="s">
        <v>142</v>
      </c>
    </row>
    <row r="109" spans="5:8" s="65" customFormat="1" ht="12.75">
      <c r="E109" s="65" t="s">
        <v>143</v>
      </c>
      <c r="H109" s="65">
        <v>1200</v>
      </c>
    </row>
    <row r="110" spans="5:8" s="65" customFormat="1" ht="12.75">
      <c r="E110" s="65" t="s">
        <v>144</v>
      </c>
      <c r="H110" s="65">
        <v>1324</v>
      </c>
    </row>
    <row r="111" spans="5:8" s="65" customFormat="1" ht="12.75">
      <c r="E111" s="65" t="s">
        <v>145</v>
      </c>
      <c r="H111" s="65">
        <v>332</v>
      </c>
    </row>
    <row r="112" spans="5:8" s="65" customFormat="1" ht="12.75">
      <c r="E112" s="65" t="s">
        <v>146</v>
      </c>
      <c r="H112" s="65">
        <v>5351.8</v>
      </c>
    </row>
    <row r="113" s="65" customFormat="1" ht="12.75"/>
    <row r="114" spans="1:11" s="65" customFormat="1" ht="15.75">
      <c r="A114" s="105" t="s">
        <v>72</v>
      </c>
      <c r="B114" s="105"/>
      <c r="C114" s="105"/>
      <c r="D114" s="105"/>
      <c r="E114" s="105"/>
      <c r="F114" s="105"/>
      <c r="G114" s="105"/>
      <c r="H114" s="76" t="e">
        <f>H116+H118+H120+H122+H124+H126+H128</f>
        <v>#REF!</v>
      </c>
      <c r="I114" s="77" t="s">
        <v>70</v>
      </c>
      <c r="K114" s="78" t="e">
        <f>H114-20000</f>
        <v>#REF!</v>
      </c>
    </row>
    <row r="115" spans="1:7" s="65" customFormat="1" ht="12.75">
      <c r="A115" s="79"/>
      <c r="B115" s="79"/>
      <c r="C115" s="79"/>
      <c r="D115" s="79"/>
      <c r="E115" s="79"/>
      <c r="F115" s="79"/>
      <c r="G115" s="79"/>
    </row>
    <row r="116" spans="1:8" s="65" customFormat="1" ht="15.75">
      <c r="A116" s="80" t="s">
        <v>147</v>
      </c>
      <c r="B116" s="80"/>
      <c r="C116" s="80"/>
      <c r="D116" s="80"/>
      <c r="E116" s="80"/>
      <c r="F116" s="80"/>
      <c r="G116" s="80"/>
      <c r="H116" s="78">
        <f>K18</f>
        <v>14356.542213988054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78"/>
    </row>
    <row r="118" spans="1:8" s="65" customFormat="1" ht="15.75">
      <c r="A118" s="105" t="s">
        <v>95</v>
      </c>
      <c r="B118" s="105"/>
      <c r="C118" s="105"/>
      <c r="D118" s="105"/>
      <c r="E118" s="105"/>
      <c r="F118" s="80"/>
      <c r="G118" s="80"/>
      <c r="H118" s="78">
        <f>K33</f>
        <v>20497.232253216214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78"/>
    </row>
    <row r="120" spans="1:8" s="65" customFormat="1" ht="15.75">
      <c r="A120" s="105" t="s">
        <v>148</v>
      </c>
      <c r="B120" s="105"/>
      <c r="C120" s="105"/>
      <c r="D120" s="105"/>
      <c r="E120" s="105"/>
      <c r="F120" s="105"/>
      <c r="G120" s="105"/>
      <c r="H120" s="81" t="e">
        <f>#REF!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111</v>
      </c>
      <c r="B122" s="80"/>
      <c r="C122" s="80"/>
      <c r="D122" s="80"/>
      <c r="E122" s="80"/>
      <c r="F122" s="80"/>
      <c r="G122" s="80"/>
      <c r="H122" s="82">
        <f>M58</f>
        <v>319.95489914375406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105" t="s">
        <v>149</v>
      </c>
      <c r="B124" s="105"/>
      <c r="C124" s="105"/>
      <c r="D124" s="105"/>
      <c r="E124" s="80"/>
      <c r="F124" s="80"/>
      <c r="G124" s="80"/>
      <c r="H124" s="81">
        <f>M70</f>
        <v>956.9652952740607</v>
      </c>
    </row>
    <row r="125" spans="1:8" s="65" customFormat="1" ht="12.75">
      <c r="A125" s="79"/>
      <c r="B125" s="79"/>
      <c r="C125" s="79"/>
      <c r="D125" s="79"/>
      <c r="E125" s="79"/>
      <c r="F125" s="79"/>
      <c r="G125" s="79"/>
      <c r="H125" s="82"/>
    </row>
    <row r="126" spans="1:8" s="65" customFormat="1" ht="15.75">
      <c r="A126" s="83" t="s">
        <v>127</v>
      </c>
      <c r="B126" s="83"/>
      <c r="C126" s="83"/>
      <c r="D126" s="83"/>
      <c r="E126" s="83"/>
      <c r="F126" s="83"/>
      <c r="G126" s="83"/>
      <c r="H126" s="81">
        <f>M77</f>
        <v>4149.724194439681</v>
      </c>
    </row>
    <row r="127" spans="1:8" s="65" customFormat="1" ht="12.75">
      <c r="A127" s="79"/>
      <c r="B127" s="79"/>
      <c r="C127" s="79"/>
      <c r="D127" s="79"/>
      <c r="E127" s="79"/>
      <c r="F127" s="79"/>
      <c r="G127" s="79"/>
      <c r="H127" s="82"/>
    </row>
    <row r="128" spans="1:8" s="65" customFormat="1" ht="15.75">
      <c r="A128" s="80" t="s">
        <v>150</v>
      </c>
      <c r="B128" s="80"/>
      <c r="C128" s="80"/>
      <c r="D128" s="80"/>
      <c r="E128" s="80"/>
      <c r="F128" s="84"/>
      <c r="G128" s="84"/>
      <c r="H128" s="81">
        <f>L87</f>
        <v>-866.263805336265</v>
      </c>
    </row>
    <row r="129" s="65" customFormat="1" ht="12.75"/>
    <row r="130" s="65" customFormat="1" ht="12.75"/>
    <row r="131" s="65" customFormat="1" ht="12.75">
      <c r="H131" s="65" t="s">
        <v>151</v>
      </c>
    </row>
    <row r="132" s="65" customFormat="1" ht="12.75">
      <c r="H132" s="65" t="s">
        <v>146</v>
      </c>
    </row>
    <row r="133" s="65" customFormat="1" ht="12.75">
      <c r="H133" s="65" t="s">
        <v>152</v>
      </c>
    </row>
    <row r="134" s="65" customFormat="1" ht="12.75"/>
    <row r="135" s="65" customFormat="1" ht="12.75"/>
    <row r="136" s="65" customFormat="1" ht="12.75">
      <c r="F136" s="65" t="s">
        <v>153</v>
      </c>
    </row>
    <row r="137" s="65" customFormat="1" ht="12.75">
      <c r="D137" s="65" t="s">
        <v>154</v>
      </c>
    </row>
    <row r="138" s="65" customFormat="1" ht="12.75">
      <c r="D138" s="65" t="s">
        <v>155</v>
      </c>
    </row>
    <row r="139" spans="6:13" s="65" customFormat="1" ht="12.75">
      <c r="F139" s="65" t="s">
        <v>156</v>
      </c>
      <c r="M139" s="65" t="s">
        <v>157</v>
      </c>
    </row>
    <row r="140" s="65" customFormat="1" ht="12.75">
      <c r="M140" s="65" t="s">
        <v>158</v>
      </c>
    </row>
    <row r="141" spans="1:13" s="65" customFormat="1" ht="12.75">
      <c r="A141" s="65" t="s">
        <v>159</v>
      </c>
      <c r="B141" s="65" t="s">
        <v>160</v>
      </c>
      <c r="D141" s="65" t="s">
        <v>161</v>
      </c>
      <c r="F141" s="65" t="s">
        <v>162</v>
      </c>
      <c r="G141" s="65" t="s">
        <v>163</v>
      </c>
      <c r="H141" s="65" t="s">
        <v>164</v>
      </c>
      <c r="J141" s="65" t="s">
        <v>165</v>
      </c>
      <c r="M141" s="73" t="s">
        <v>166</v>
      </c>
    </row>
    <row r="142" spans="1:14" s="65" customFormat="1" ht="12.75">
      <c r="A142" s="65" t="s">
        <v>167</v>
      </c>
      <c r="B142" s="65" t="s">
        <v>168</v>
      </c>
      <c r="D142" s="65" t="s">
        <v>169</v>
      </c>
      <c r="F142" s="65" t="s">
        <v>170</v>
      </c>
      <c r="G142" s="65" t="s">
        <v>171</v>
      </c>
      <c r="H142" s="65" t="s">
        <v>172</v>
      </c>
      <c r="J142" s="65" t="s">
        <v>173</v>
      </c>
      <c r="M142" s="65" t="s">
        <v>174</v>
      </c>
      <c r="N142" s="65">
        <v>6000.7</v>
      </c>
    </row>
    <row r="143" spans="8:9" s="65" customFormat="1" ht="12.75">
      <c r="H143" s="65" t="s">
        <v>175</v>
      </c>
      <c r="I143" s="65" t="s">
        <v>176</v>
      </c>
    </row>
    <row r="144" spans="8:13" s="65" customFormat="1" ht="12.75">
      <c r="H144" s="65" t="s">
        <v>170</v>
      </c>
      <c r="I144" s="65" t="s">
        <v>177</v>
      </c>
      <c r="M144" s="65" t="s">
        <v>178</v>
      </c>
    </row>
    <row r="145" spans="9:13" s="65" customFormat="1" ht="12.75">
      <c r="I145" s="65" t="s">
        <v>179</v>
      </c>
      <c r="M145" s="65" t="s">
        <v>158</v>
      </c>
    </row>
    <row r="146" s="65" customFormat="1" ht="12.75">
      <c r="M146" s="73" t="s">
        <v>166</v>
      </c>
    </row>
    <row r="147" spans="1:14" s="65" customFormat="1" ht="12.75">
      <c r="A147" s="65" t="s">
        <v>180</v>
      </c>
      <c r="B147" s="65" t="s">
        <v>181</v>
      </c>
      <c r="D147" s="65" t="s">
        <v>182</v>
      </c>
      <c r="M147" s="65" t="s">
        <v>174</v>
      </c>
      <c r="N147" s="65">
        <v>543.2</v>
      </c>
    </row>
    <row r="148" spans="2:4" s="65" customFormat="1" ht="12.75">
      <c r="B148" s="65" t="s">
        <v>183</v>
      </c>
      <c r="D148" s="65" t="s">
        <v>184</v>
      </c>
    </row>
    <row r="149" spans="2:13" s="65" customFormat="1" ht="12.75">
      <c r="B149" s="65" t="s">
        <v>185</v>
      </c>
      <c r="D149" s="65" t="s">
        <v>186</v>
      </c>
      <c r="M149" s="65" t="s">
        <v>187</v>
      </c>
    </row>
    <row r="150" spans="2:13" s="65" customFormat="1" ht="12.75">
      <c r="B150" s="65" t="s">
        <v>188</v>
      </c>
      <c r="D150" s="65" t="s">
        <v>189</v>
      </c>
      <c r="M150" s="65" t="s">
        <v>158</v>
      </c>
    </row>
    <row r="151" spans="2:13" s="65" customFormat="1" ht="12.75">
      <c r="B151" s="65" t="s">
        <v>190</v>
      </c>
      <c r="M151" s="73" t="s">
        <v>166</v>
      </c>
    </row>
    <row r="152" spans="4:14" s="65" customFormat="1" ht="12.75">
      <c r="D152" s="65" t="s">
        <v>191</v>
      </c>
      <c r="M152" s="65" t="s">
        <v>174</v>
      </c>
      <c r="N152" s="65">
        <v>923.3</v>
      </c>
    </row>
    <row r="153" spans="4:6" s="65" customFormat="1" ht="12.75">
      <c r="D153" s="65" t="s">
        <v>192</v>
      </c>
      <c r="F153" s="65" t="s">
        <v>193</v>
      </c>
    </row>
    <row r="154" spans="4:13" s="65" customFormat="1" ht="12.75">
      <c r="D154" s="65" t="s">
        <v>158</v>
      </c>
      <c r="F154" s="65" t="s">
        <v>194</v>
      </c>
      <c r="H154" s="65">
        <v>0.0687</v>
      </c>
      <c r="I154" s="65">
        <v>0</v>
      </c>
      <c r="K154" s="65">
        <f>N145/1000*H154</f>
        <v>0</v>
      </c>
      <c r="M154" s="65" t="s">
        <v>195</v>
      </c>
    </row>
    <row r="155" spans="4:13" s="65" customFormat="1" ht="12.75">
      <c r="D155" s="65" t="s">
        <v>196</v>
      </c>
      <c r="F155" s="65" t="s">
        <v>197</v>
      </c>
      <c r="H155" s="65">
        <v>0.0763</v>
      </c>
      <c r="I155" s="65">
        <v>0</v>
      </c>
      <c r="K155" s="65">
        <f>N146/1000*H155</f>
        <v>0</v>
      </c>
      <c r="M155" s="65" t="s">
        <v>158</v>
      </c>
    </row>
    <row r="156" spans="4:13" s="65" customFormat="1" ht="12.75">
      <c r="D156" s="65" t="s">
        <v>198</v>
      </c>
      <c r="F156" s="65" t="s">
        <v>199</v>
      </c>
      <c r="H156" s="65">
        <v>0.0839</v>
      </c>
      <c r="I156" s="65">
        <v>0</v>
      </c>
      <c r="K156" s="69">
        <f>N147/1000*H156</f>
        <v>0.04557448</v>
      </c>
      <c r="M156" s="73" t="s">
        <v>166</v>
      </c>
    </row>
    <row r="157" spans="6:13" s="65" customFormat="1" ht="12.75">
      <c r="F157" s="65" t="s">
        <v>200</v>
      </c>
      <c r="M157" s="65" t="s">
        <v>174</v>
      </c>
    </row>
    <row r="158" s="65" customFormat="1" ht="12.75">
      <c r="F158" s="65" t="s">
        <v>190</v>
      </c>
    </row>
    <row r="159" spans="5:9" s="65" customFormat="1" ht="12.75">
      <c r="E159" s="65" t="s">
        <v>201</v>
      </c>
      <c r="I159" s="65">
        <v>0</v>
      </c>
    </row>
    <row r="160" spans="2:4" s="65" customFormat="1" ht="12.75">
      <c r="B160" s="65" t="s">
        <v>202</v>
      </c>
      <c r="D160" s="65" t="s">
        <v>203</v>
      </c>
    </row>
    <row r="161" s="65" customFormat="1" ht="12.75">
      <c r="D161" s="65" t="s">
        <v>204</v>
      </c>
    </row>
    <row r="162" s="65" customFormat="1" ht="12.75">
      <c r="D162" s="65" t="s">
        <v>205</v>
      </c>
    </row>
    <row r="163" s="65" customFormat="1" ht="12.75">
      <c r="D163" s="65" t="s">
        <v>191</v>
      </c>
    </row>
    <row r="164" spans="4:11" s="65" customFormat="1" ht="12.75">
      <c r="D164" s="65" t="s">
        <v>158</v>
      </c>
      <c r="H164" s="65">
        <v>0.00338</v>
      </c>
      <c r="K164" s="69">
        <f>N168/1000*H164</f>
        <v>0</v>
      </c>
    </row>
    <row r="165" spans="4:11" s="65" customFormat="1" ht="12.75">
      <c r="D165" s="65" t="s">
        <v>196</v>
      </c>
      <c r="H165" s="65">
        <v>0.00376</v>
      </c>
      <c r="K165" s="69">
        <f>N169/1000*H165</f>
        <v>0</v>
      </c>
    </row>
    <row r="166" spans="4:11" s="65" customFormat="1" ht="12.75">
      <c r="D166" s="65" t="s">
        <v>198</v>
      </c>
      <c r="H166" s="65">
        <v>0.00414</v>
      </c>
      <c r="K166" s="69">
        <f>N170/1000*H166</f>
        <v>0.024842898</v>
      </c>
    </row>
    <row r="167" s="65" customFormat="1" ht="12.75">
      <c r="M167" s="65" t="s">
        <v>206</v>
      </c>
    </row>
    <row r="168" spans="1:13" s="65" customFormat="1" ht="12.75">
      <c r="A168" s="65" t="s">
        <v>207</v>
      </c>
      <c r="B168" s="65" t="s">
        <v>208</v>
      </c>
      <c r="D168" s="65" t="s">
        <v>203</v>
      </c>
      <c r="M168" s="65" t="s">
        <v>158</v>
      </c>
    </row>
    <row r="169" spans="4:13" s="65" customFormat="1" ht="12.75">
      <c r="D169" s="65" t="s">
        <v>209</v>
      </c>
      <c r="M169" s="73" t="s">
        <v>166</v>
      </c>
    </row>
    <row r="170" spans="4:14" s="65" customFormat="1" ht="12.75">
      <c r="D170" s="65" t="s">
        <v>191</v>
      </c>
      <c r="M170" s="65" t="s">
        <v>174</v>
      </c>
      <c r="N170" s="65">
        <f>N142</f>
        <v>6000.7</v>
      </c>
    </row>
    <row r="171" spans="4:11" s="65" customFormat="1" ht="12.75">
      <c r="D171" s="65" t="s">
        <v>158</v>
      </c>
      <c r="H171" s="65">
        <v>0.02043</v>
      </c>
      <c r="I171" s="65">
        <v>0</v>
      </c>
      <c r="K171" s="65">
        <f>N155/1000*H171</f>
        <v>0</v>
      </c>
    </row>
    <row r="172" spans="4:13" s="65" customFormat="1" ht="12.75">
      <c r="D172" s="65" t="s">
        <v>196</v>
      </c>
      <c r="H172" s="65">
        <v>0.0227</v>
      </c>
      <c r="I172" s="65">
        <v>0</v>
      </c>
      <c r="K172" s="65">
        <f>N156/1000*H172</f>
        <v>0</v>
      </c>
      <c r="M172" s="65" t="s">
        <v>210</v>
      </c>
    </row>
    <row r="173" spans="4:13" s="65" customFormat="1" ht="12.75">
      <c r="D173" s="65" t="s">
        <v>198</v>
      </c>
      <c r="H173" s="65">
        <v>0.02497</v>
      </c>
      <c r="I173" s="65">
        <v>0</v>
      </c>
      <c r="K173" s="65">
        <f>N157/1000*H173</f>
        <v>0</v>
      </c>
      <c r="M173" s="65" t="s">
        <v>158</v>
      </c>
    </row>
    <row r="174" spans="4:13" s="65" customFormat="1" ht="12.75">
      <c r="D174" s="65" t="s">
        <v>211</v>
      </c>
      <c r="M174" s="73" t="s">
        <v>166</v>
      </c>
    </row>
    <row r="175" spans="4:14" s="65" customFormat="1" ht="12.75">
      <c r="D175" s="65" t="s">
        <v>191</v>
      </c>
      <c r="M175" s="65" t="s">
        <v>174</v>
      </c>
      <c r="N175" s="65">
        <v>142</v>
      </c>
    </row>
    <row r="176" spans="4:6" s="65" customFormat="1" ht="12.75">
      <c r="D176" s="65" t="s">
        <v>192</v>
      </c>
      <c r="F176" s="65" t="s">
        <v>193</v>
      </c>
    </row>
    <row r="177" spans="4:11" s="65" customFormat="1" ht="12.75">
      <c r="D177" s="65" t="s">
        <v>158</v>
      </c>
      <c r="H177" s="65">
        <v>0.00999</v>
      </c>
      <c r="K177" s="69">
        <f>N140/1000*H177</f>
        <v>0</v>
      </c>
    </row>
    <row r="178" spans="4:11" s="65" customFormat="1" ht="12.75">
      <c r="D178" s="65" t="s">
        <v>196</v>
      </c>
      <c r="H178" s="65">
        <v>0.0111</v>
      </c>
      <c r="K178" s="69">
        <f>N141/1000*H178</f>
        <v>0</v>
      </c>
    </row>
    <row r="179" spans="4:11" s="65" customFormat="1" ht="12.75">
      <c r="D179" s="65" t="s">
        <v>198</v>
      </c>
      <c r="H179" s="65">
        <v>0.01221</v>
      </c>
      <c r="I179" s="65">
        <v>0</v>
      </c>
      <c r="K179" s="69">
        <f>N142/1000*H179</f>
        <v>0.073268547</v>
      </c>
    </row>
    <row r="180" s="65" customFormat="1" ht="12.75">
      <c r="I180" s="65">
        <v>0</v>
      </c>
    </row>
    <row r="181" spans="5:9" s="65" customFormat="1" ht="12.75">
      <c r="E181" s="65" t="s">
        <v>201</v>
      </c>
      <c r="G181" s="65">
        <v>0</v>
      </c>
      <c r="I181" s="65">
        <v>0</v>
      </c>
    </row>
    <row r="182" spans="1:6" s="65" customFormat="1" ht="12.75">
      <c r="A182" s="65" t="s">
        <v>212</v>
      </c>
      <c r="B182" s="65" t="s">
        <v>213</v>
      </c>
      <c r="D182" s="65" t="s">
        <v>203</v>
      </c>
      <c r="F182" s="65" t="s">
        <v>193</v>
      </c>
    </row>
    <row r="183" spans="2:6" s="65" customFormat="1" ht="12.75">
      <c r="B183" s="65" t="s">
        <v>214</v>
      </c>
      <c r="D183" s="65" t="s">
        <v>209</v>
      </c>
      <c r="F183" s="65" t="s">
        <v>215</v>
      </c>
    </row>
    <row r="184" spans="4:6" s="65" customFormat="1" ht="12.75">
      <c r="D184" s="65" t="s">
        <v>191</v>
      </c>
      <c r="F184" s="65" t="s">
        <v>216</v>
      </c>
    </row>
    <row r="185" spans="4:11" s="65" customFormat="1" ht="12.75">
      <c r="D185" s="65" t="s">
        <v>158</v>
      </c>
      <c r="H185" s="65">
        <v>0.018432</v>
      </c>
      <c r="I185" s="65">
        <v>0</v>
      </c>
      <c r="K185" s="65">
        <f>N155/1000*H185</f>
        <v>0</v>
      </c>
    </row>
    <row r="186" spans="4:11" s="65" customFormat="1" ht="12.75">
      <c r="D186" s="65" t="s">
        <v>196</v>
      </c>
      <c r="H186" s="65">
        <v>0.02048</v>
      </c>
      <c r="I186" s="65">
        <v>0</v>
      </c>
      <c r="K186" s="65">
        <f>N156/1000*H186</f>
        <v>0</v>
      </c>
    </row>
    <row r="187" spans="4:11" s="65" customFormat="1" ht="12.75">
      <c r="D187" s="65" t="s">
        <v>198</v>
      </c>
      <c r="K187" s="65">
        <f>N157/1000*H187</f>
        <v>0</v>
      </c>
    </row>
    <row r="188" s="65" customFormat="1" ht="12.75">
      <c r="D188" s="65" t="s">
        <v>211</v>
      </c>
    </row>
    <row r="189" s="65" customFormat="1" ht="12.75">
      <c r="D189" s="65" t="s">
        <v>191</v>
      </c>
    </row>
    <row r="190" s="65" customFormat="1" ht="12.75">
      <c r="D190" s="65" t="s">
        <v>192</v>
      </c>
    </row>
    <row r="191" spans="4:11" s="65" customFormat="1" ht="12.75">
      <c r="D191" s="65" t="s">
        <v>158</v>
      </c>
      <c r="K191" s="69">
        <f>N140/1000*H191</f>
        <v>0</v>
      </c>
    </row>
    <row r="192" spans="4:11" s="65" customFormat="1" ht="12.75">
      <c r="D192" s="65" t="s">
        <v>196</v>
      </c>
      <c r="H192" s="65">
        <v>0.02295</v>
      </c>
      <c r="I192" s="65">
        <v>0</v>
      </c>
      <c r="K192" s="69">
        <f>N141/1000*H192</f>
        <v>0</v>
      </c>
    </row>
    <row r="193" spans="4:11" s="65" customFormat="1" ht="12.75">
      <c r="D193" s="65" t="s">
        <v>198</v>
      </c>
      <c r="H193" s="65">
        <v>0.025245</v>
      </c>
      <c r="I193" s="65">
        <v>0</v>
      </c>
      <c r="K193" s="69">
        <f>N142/1000*H193</f>
        <v>0.1514876715</v>
      </c>
    </row>
    <row r="194" spans="5:11" s="65" customFormat="1" ht="12.75">
      <c r="E194" s="65" t="s">
        <v>201</v>
      </c>
      <c r="G194" s="65">
        <v>0</v>
      </c>
      <c r="I194" s="65">
        <v>0</v>
      </c>
      <c r="K194" s="69"/>
    </row>
    <row r="195" s="65" customFormat="1" ht="12.75">
      <c r="K195" s="69"/>
    </row>
    <row r="196" spans="1:11" s="65" customFormat="1" ht="12.75">
      <c r="A196" s="65" t="s">
        <v>217</v>
      </c>
      <c r="B196" s="65" t="s">
        <v>218</v>
      </c>
      <c r="D196" s="65" t="s">
        <v>203</v>
      </c>
      <c r="K196" s="69"/>
    </row>
    <row r="197" spans="4:11" s="65" customFormat="1" ht="12.75">
      <c r="D197" s="65" t="s">
        <v>209</v>
      </c>
      <c r="K197" s="69"/>
    </row>
    <row r="198" spans="4:11" s="65" customFormat="1" ht="12.75">
      <c r="D198" s="65" t="s">
        <v>191</v>
      </c>
      <c r="K198" s="69"/>
    </row>
    <row r="199" spans="4:11" s="65" customFormat="1" ht="12.75">
      <c r="D199" s="65" t="s">
        <v>158</v>
      </c>
      <c r="H199" s="65">
        <v>0.027585</v>
      </c>
      <c r="I199" s="65">
        <v>0</v>
      </c>
      <c r="K199" s="69">
        <f>N155/1000*H199</f>
        <v>0</v>
      </c>
    </row>
    <row r="200" spans="4:11" s="65" customFormat="1" ht="12.75">
      <c r="D200" s="65" t="s">
        <v>196</v>
      </c>
      <c r="H200" s="65">
        <v>0.3065</v>
      </c>
      <c r="I200" s="65">
        <v>0</v>
      </c>
      <c r="K200" s="69">
        <f>N156/1000*H200</f>
        <v>0</v>
      </c>
    </row>
    <row r="201" spans="4:11" s="65" customFormat="1" ht="12.75">
      <c r="D201" s="65" t="s">
        <v>198</v>
      </c>
      <c r="K201" s="69">
        <f>N157/1000*H201</f>
        <v>0</v>
      </c>
    </row>
    <row r="202" spans="4:11" s="65" customFormat="1" ht="12.75">
      <c r="D202" s="65" t="s">
        <v>211</v>
      </c>
      <c r="K202" s="69"/>
    </row>
    <row r="203" spans="4:11" s="65" customFormat="1" ht="12.75">
      <c r="D203" s="65" t="s">
        <v>191</v>
      </c>
      <c r="K203" s="69"/>
    </row>
    <row r="204" spans="4:11" s="65" customFormat="1" ht="12.75">
      <c r="D204" s="65" t="s">
        <v>192</v>
      </c>
      <c r="K204" s="69"/>
    </row>
    <row r="205" spans="4:11" s="65" customFormat="1" ht="12.75">
      <c r="D205" s="65" t="s">
        <v>158</v>
      </c>
      <c r="K205" s="69">
        <f>N140/1000*H205</f>
        <v>0</v>
      </c>
    </row>
    <row r="206" spans="4:11" s="65" customFormat="1" ht="12.75">
      <c r="D206" s="65" t="s">
        <v>196</v>
      </c>
      <c r="H206" s="65">
        <v>0.00539</v>
      </c>
      <c r="I206" s="65">
        <v>0</v>
      </c>
      <c r="K206" s="69">
        <f>N141/1000*H206</f>
        <v>0</v>
      </c>
    </row>
    <row r="207" spans="4:11" s="65" customFormat="1" ht="12.75">
      <c r="D207" s="65" t="s">
        <v>198</v>
      </c>
      <c r="H207" s="65">
        <v>0.005929</v>
      </c>
      <c r="I207" s="65">
        <v>0</v>
      </c>
      <c r="K207" s="69">
        <f>N142/1000*H207</f>
        <v>0.0355781503</v>
      </c>
    </row>
    <row r="208" spans="5:11" s="65" customFormat="1" ht="12.75">
      <c r="E208" s="65" t="s">
        <v>201</v>
      </c>
      <c r="G208" s="65">
        <v>0</v>
      </c>
      <c r="I208" s="65">
        <v>0</v>
      </c>
      <c r="K208" s="69"/>
    </row>
    <row r="209" s="65" customFormat="1" ht="12.75">
      <c r="K209" s="69"/>
    </row>
    <row r="210" spans="1:11" s="65" customFormat="1" ht="12.75">
      <c r="A210" s="65" t="s">
        <v>219</v>
      </c>
      <c r="B210" s="65" t="s">
        <v>220</v>
      </c>
      <c r="D210" s="65" t="s">
        <v>203</v>
      </c>
      <c r="K210" s="69"/>
    </row>
    <row r="211" spans="2:11" s="65" customFormat="1" ht="12.75">
      <c r="B211" s="65" t="s">
        <v>214</v>
      </c>
      <c r="D211" s="65" t="s">
        <v>209</v>
      </c>
      <c r="K211" s="69"/>
    </row>
    <row r="212" spans="4:11" s="65" customFormat="1" ht="12.75">
      <c r="D212" s="65" t="s">
        <v>191</v>
      </c>
      <c r="K212" s="69"/>
    </row>
    <row r="213" spans="4:11" s="65" customFormat="1" ht="12.75">
      <c r="D213" s="65" t="s">
        <v>158</v>
      </c>
      <c r="H213" s="65">
        <v>0.022437</v>
      </c>
      <c r="I213" s="65">
        <v>0</v>
      </c>
      <c r="K213" s="69">
        <f>N155/1000*H213</f>
        <v>0</v>
      </c>
    </row>
    <row r="214" spans="4:11" s="65" customFormat="1" ht="12.75">
      <c r="D214" s="65" t="s">
        <v>196</v>
      </c>
      <c r="H214" s="65">
        <v>0.02493</v>
      </c>
      <c r="I214" s="65">
        <v>0</v>
      </c>
      <c r="K214" s="69">
        <f>N156/1000*H214</f>
        <v>0</v>
      </c>
    </row>
    <row r="215" spans="4:11" s="65" customFormat="1" ht="12.75">
      <c r="D215" s="65" t="s">
        <v>198</v>
      </c>
      <c r="K215" s="65">
        <f>N157/1000*H215</f>
        <v>0</v>
      </c>
    </row>
    <row r="216" s="65" customFormat="1" ht="12.75">
      <c r="D216" s="65" t="s">
        <v>211</v>
      </c>
    </row>
    <row r="217" s="65" customFormat="1" ht="12.75">
      <c r="D217" s="65" t="s">
        <v>191</v>
      </c>
    </row>
    <row r="218" s="65" customFormat="1" ht="12.75">
      <c r="D218" s="65" t="s">
        <v>192</v>
      </c>
    </row>
    <row r="219" spans="4:11" s="65" customFormat="1" ht="12.75">
      <c r="D219" s="65" t="s">
        <v>158</v>
      </c>
      <c r="K219" s="69">
        <f>N140/1000*H219</f>
        <v>0</v>
      </c>
    </row>
    <row r="220" spans="4:11" s="65" customFormat="1" ht="12.75">
      <c r="D220" s="65" t="s">
        <v>196</v>
      </c>
      <c r="H220" s="65">
        <v>0.00888</v>
      </c>
      <c r="I220" s="65">
        <v>0</v>
      </c>
      <c r="K220" s="69">
        <f>N141/1000*H220</f>
        <v>0</v>
      </c>
    </row>
    <row r="221" spans="4:11" s="65" customFormat="1" ht="12.75">
      <c r="D221" s="65" t="s">
        <v>198</v>
      </c>
      <c r="H221" s="65">
        <v>0.009768</v>
      </c>
      <c r="I221" s="65">
        <v>0</v>
      </c>
      <c r="K221" s="69">
        <f>N142/1000*H221</f>
        <v>0.058614837600000004</v>
      </c>
    </row>
    <row r="222" spans="5:11" s="65" customFormat="1" ht="12.75">
      <c r="E222" s="65" t="s">
        <v>201</v>
      </c>
      <c r="G222" s="65">
        <v>0</v>
      </c>
      <c r="I222" s="65">
        <v>0</v>
      </c>
      <c r="K222" s="69"/>
    </row>
    <row r="223" s="65" customFormat="1" ht="12.75">
      <c r="K223" s="69"/>
    </row>
    <row r="224" spans="2:4" s="65" customFormat="1" ht="12.75">
      <c r="B224" s="65" t="s">
        <v>221</v>
      </c>
      <c r="D224" s="65" t="s">
        <v>203</v>
      </c>
    </row>
    <row r="225" s="65" customFormat="1" ht="12.75">
      <c r="D225" s="65" t="s">
        <v>204</v>
      </c>
    </row>
    <row r="226" s="65" customFormat="1" ht="12.75">
      <c r="D226" s="65" t="s">
        <v>205</v>
      </c>
    </row>
    <row r="227" s="65" customFormat="1" ht="12.75">
      <c r="D227" s="65" t="s">
        <v>191</v>
      </c>
    </row>
    <row r="228" spans="4:11" s="65" customFormat="1" ht="12.75">
      <c r="D228" s="65" t="s">
        <v>158</v>
      </c>
      <c r="H228" s="65">
        <v>0.0243</v>
      </c>
      <c r="K228" s="69">
        <f>N168/1000*H228</f>
        <v>0</v>
      </c>
    </row>
    <row r="229" spans="4:11" s="65" customFormat="1" ht="12.75">
      <c r="D229" s="65" t="s">
        <v>196</v>
      </c>
      <c r="H229" s="65">
        <v>0.027</v>
      </c>
      <c r="K229" s="69">
        <f>N169/1000*H229</f>
        <v>0</v>
      </c>
    </row>
    <row r="230" spans="4:11" s="65" customFormat="1" ht="12.75">
      <c r="D230" s="65" t="s">
        <v>198</v>
      </c>
      <c r="H230" s="65">
        <v>0.0297</v>
      </c>
      <c r="K230" s="69">
        <f>N170/1000*H230</f>
        <v>0.17822079000000002</v>
      </c>
    </row>
    <row r="231" spans="1:11" s="65" customFormat="1" ht="12.75">
      <c r="A231" s="65" t="s">
        <v>222</v>
      </c>
      <c r="B231" s="65" t="s">
        <v>223</v>
      </c>
      <c r="D231" s="65" t="s">
        <v>203</v>
      </c>
      <c r="K231" s="69"/>
    </row>
    <row r="232" spans="4:11" s="65" customFormat="1" ht="12.75">
      <c r="D232" s="65" t="s">
        <v>209</v>
      </c>
      <c r="K232" s="69"/>
    </row>
    <row r="233" spans="4:11" s="65" customFormat="1" ht="12.75">
      <c r="D233" s="65" t="s">
        <v>191</v>
      </c>
      <c r="K233" s="69"/>
    </row>
    <row r="234" spans="4:11" s="65" customFormat="1" ht="12.75">
      <c r="D234" s="65" t="s">
        <v>158</v>
      </c>
      <c r="H234" s="65">
        <v>0.01773</v>
      </c>
      <c r="I234" s="65">
        <v>0</v>
      </c>
      <c r="K234" s="69">
        <f>N155/1000*H234</f>
        <v>0</v>
      </c>
    </row>
    <row r="235" spans="4:11" s="65" customFormat="1" ht="12.75">
      <c r="D235" s="65" t="s">
        <v>196</v>
      </c>
      <c r="H235" s="65">
        <v>0.0197</v>
      </c>
      <c r="I235" s="65">
        <v>0</v>
      </c>
      <c r="K235" s="69">
        <f>N156/1000*H235</f>
        <v>0</v>
      </c>
    </row>
    <row r="236" spans="4:11" s="65" customFormat="1" ht="12.75">
      <c r="D236" s="65" t="s">
        <v>198</v>
      </c>
      <c r="K236" s="69">
        <f>N157/1000*H236</f>
        <v>0</v>
      </c>
    </row>
    <row r="237" spans="4:11" s="65" customFormat="1" ht="12.75">
      <c r="D237" s="65" t="s">
        <v>211</v>
      </c>
      <c r="K237" s="69"/>
    </row>
    <row r="238" spans="4:11" s="65" customFormat="1" ht="12.75">
      <c r="D238" s="65" t="s">
        <v>191</v>
      </c>
      <c r="K238" s="69"/>
    </row>
    <row r="239" spans="4:11" s="65" customFormat="1" ht="12.75">
      <c r="D239" s="65" t="s">
        <v>192</v>
      </c>
      <c r="K239" s="69"/>
    </row>
    <row r="240" spans="4:11" s="65" customFormat="1" ht="12.75">
      <c r="D240" s="65" t="s">
        <v>158</v>
      </c>
      <c r="K240" s="69">
        <f>N140/1000*H240</f>
        <v>0</v>
      </c>
    </row>
    <row r="241" spans="4:11" s="65" customFormat="1" ht="12.75">
      <c r="D241" s="65" t="s">
        <v>196</v>
      </c>
      <c r="H241" s="65">
        <v>0.0018</v>
      </c>
      <c r="I241" s="65">
        <v>0</v>
      </c>
      <c r="K241" s="69">
        <f>N141/1000*H241</f>
        <v>0</v>
      </c>
    </row>
    <row r="242" spans="4:11" s="65" customFormat="1" ht="12.75">
      <c r="D242" s="65" t="s">
        <v>198</v>
      </c>
      <c r="H242" s="65">
        <v>0.00198</v>
      </c>
      <c r="I242" s="65">
        <v>0</v>
      </c>
      <c r="K242" s="69">
        <f>N142/1000*H242</f>
        <v>0.011881386</v>
      </c>
    </row>
    <row r="243" spans="5:11" s="65" customFormat="1" ht="12.75">
      <c r="E243" s="65" t="s">
        <v>201</v>
      </c>
      <c r="G243" s="65">
        <v>0</v>
      </c>
      <c r="I243" s="65">
        <v>0</v>
      </c>
      <c r="K243" s="69"/>
    </row>
    <row r="244" s="65" customFormat="1" ht="12.75">
      <c r="K244" s="69"/>
    </row>
    <row r="245" spans="2:7" s="65" customFormat="1" ht="12.75">
      <c r="B245" s="65" t="s">
        <v>224</v>
      </c>
      <c r="D245" s="65" t="s">
        <v>203</v>
      </c>
      <c r="G245" s="65" t="s">
        <v>225</v>
      </c>
    </row>
    <row r="246" spans="4:7" s="65" customFormat="1" ht="12.75">
      <c r="D246" s="65" t="s">
        <v>204</v>
      </c>
      <c r="G246" s="65" t="s">
        <v>226</v>
      </c>
    </row>
    <row r="247" spans="4:7" s="65" customFormat="1" ht="12.75">
      <c r="D247" s="65" t="s">
        <v>205</v>
      </c>
      <c r="G247" s="65" t="s">
        <v>227</v>
      </c>
    </row>
    <row r="248" s="65" customFormat="1" ht="12.75">
      <c r="D248" s="65" t="s">
        <v>191</v>
      </c>
    </row>
    <row r="249" spans="4:11" s="65" customFormat="1" ht="12.75">
      <c r="D249" s="65" t="s">
        <v>158</v>
      </c>
      <c r="H249" s="65">
        <v>0.02367</v>
      </c>
      <c r="K249" s="69">
        <f>N150/1000*H249</f>
        <v>0</v>
      </c>
    </row>
    <row r="250" spans="4:11" s="65" customFormat="1" ht="12.75">
      <c r="D250" s="65" t="s">
        <v>196</v>
      </c>
      <c r="H250" s="65">
        <v>0.0263</v>
      </c>
      <c r="K250" s="69">
        <f>N151/1000*H250</f>
        <v>0</v>
      </c>
    </row>
    <row r="251" spans="4:11" s="65" customFormat="1" ht="12.75">
      <c r="D251" s="65" t="s">
        <v>198</v>
      </c>
      <c r="H251" s="65">
        <v>0.02893</v>
      </c>
      <c r="K251" s="69">
        <f>N152/1000*H251</f>
        <v>0.026711069</v>
      </c>
    </row>
    <row r="252" s="65" customFormat="1" ht="12.75">
      <c r="K252" s="69"/>
    </row>
    <row r="253" spans="1:11" s="65" customFormat="1" ht="12.75">
      <c r="A253" s="65" t="s">
        <v>228</v>
      </c>
      <c r="B253" s="65" t="s">
        <v>229</v>
      </c>
      <c r="D253" s="65" t="s">
        <v>203</v>
      </c>
      <c r="K253" s="69"/>
    </row>
    <row r="254" spans="2:11" s="65" customFormat="1" ht="12.75">
      <c r="B254" s="65" t="s">
        <v>230</v>
      </c>
      <c r="D254" s="65" t="s">
        <v>209</v>
      </c>
      <c r="K254" s="69"/>
    </row>
    <row r="255" spans="4:11" s="65" customFormat="1" ht="12.75">
      <c r="D255" s="65" t="s">
        <v>191</v>
      </c>
      <c r="K255" s="69"/>
    </row>
    <row r="256" spans="4:11" s="65" customFormat="1" ht="12.75">
      <c r="D256" s="65" t="s">
        <v>158</v>
      </c>
      <c r="H256" s="65">
        <v>0.014679</v>
      </c>
      <c r="I256" s="65">
        <v>0</v>
      </c>
      <c r="K256" s="69">
        <f>N155/1000*H256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N156/1000*H257</f>
        <v>0</v>
      </c>
    </row>
    <row r="258" spans="4:11" s="65" customFormat="1" ht="12.75">
      <c r="D258" s="65" t="s">
        <v>198</v>
      </c>
      <c r="K258" s="69">
        <f>N157/1000*H258</f>
        <v>0</v>
      </c>
    </row>
    <row r="259" spans="4:11" s="65" customFormat="1" ht="12.75">
      <c r="D259" s="65" t="s">
        <v>211</v>
      </c>
      <c r="K259" s="69"/>
    </row>
    <row r="260" spans="4:11" s="65" customFormat="1" ht="12.75">
      <c r="D260" s="65" t="s">
        <v>191</v>
      </c>
      <c r="K260" s="69"/>
    </row>
    <row r="261" spans="4:11" s="65" customFormat="1" ht="12.75">
      <c r="D261" s="65" t="s">
        <v>192</v>
      </c>
      <c r="K261" s="69"/>
    </row>
    <row r="262" spans="4:11" s="65" customFormat="1" ht="12.75">
      <c r="D262" s="65" t="s">
        <v>158</v>
      </c>
      <c r="K262" s="69">
        <f>N140/1000*H262</f>
        <v>0</v>
      </c>
    </row>
    <row r="263" spans="4:11" s="65" customFormat="1" ht="12.75">
      <c r="D263" s="65" t="s">
        <v>196</v>
      </c>
      <c r="H263" s="65">
        <v>0.01631</v>
      </c>
      <c r="I263" s="65">
        <v>0</v>
      </c>
      <c r="K263" s="69">
        <f>N141/1000*H263</f>
        <v>0</v>
      </c>
    </row>
    <row r="264" spans="4:11" s="65" customFormat="1" ht="12.75">
      <c r="D264" s="65" t="s">
        <v>198</v>
      </c>
      <c r="H264" s="65">
        <v>0.017941</v>
      </c>
      <c r="I264" s="65">
        <v>0</v>
      </c>
      <c r="K264" s="69">
        <f>N142/1000*H264</f>
        <v>0.10765855869999999</v>
      </c>
    </row>
    <row r="265" spans="5:11" s="65" customFormat="1" ht="12.75">
      <c r="E265" s="65" t="s">
        <v>201</v>
      </c>
      <c r="G265" s="65">
        <v>0</v>
      </c>
      <c r="I265" s="65">
        <v>0</v>
      </c>
      <c r="K265" s="69"/>
    </row>
    <row r="266" s="65" customFormat="1" ht="12.75">
      <c r="K266" s="69"/>
    </row>
    <row r="267" spans="1:11" s="65" customFormat="1" ht="12.75">
      <c r="A267" s="65" t="s">
        <v>231</v>
      </c>
      <c r="B267" s="65" t="s">
        <v>232</v>
      </c>
      <c r="D267" s="65" t="s">
        <v>203</v>
      </c>
      <c r="K267" s="69"/>
    </row>
    <row r="268" spans="2:11" s="65" customFormat="1" ht="12.75">
      <c r="B268" s="65" t="s">
        <v>233</v>
      </c>
      <c r="D268" s="65" t="s">
        <v>211</v>
      </c>
      <c r="K268" s="69"/>
    </row>
    <row r="269" spans="4:11" s="65" customFormat="1" ht="12.75">
      <c r="D269" s="65" t="s">
        <v>209</v>
      </c>
      <c r="K269" s="69"/>
    </row>
    <row r="270" spans="4:11" s="65" customFormat="1" ht="12.75">
      <c r="D270" s="65" t="s">
        <v>234</v>
      </c>
      <c r="K270" s="69"/>
    </row>
    <row r="271" spans="4:11" s="65" customFormat="1" ht="12.75">
      <c r="D271" s="65" t="s">
        <v>235</v>
      </c>
      <c r="F271" s="65" t="s">
        <v>236</v>
      </c>
      <c r="K271" s="69"/>
    </row>
    <row r="272" spans="4:11" s="65" customFormat="1" ht="12.75">
      <c r="D272" s="65" t="s">
        <v>191</v>
      </c>
      <c r="F272" s="65" t="s">
        <v>237</v>
      </c>
      <c r="K272" s="69"/>
    </row>
    <row r="273" spans="4:11" s="65" customFormat="1" ht="12.75">
      <c r="D273" s="65" t="s">
        <v>158</v>
      </c>
      <c r="H273" s="65">
        <v>41000</v>
      </c>
      <c r="I273" s="65">
        <v>0</v>
      </c>
      <c r="K273" s="69">
        <f>N168/H273</f>
        <v>0</v>
      </c>
    </row>
    <row r="274" spans="4:11" s="65" customFormat="1" ht="12.75">
      <c r="D274" s="65" t="s">
        <v>196</v>
      </c>
      <c r="H274" s="65">
        <v>39000</v>
      </c>
      <c r="I274" s="65">
        <v>0</v>
      </c>
      <c r="K274" s="69">
        <f>N169/H274</f>
        <v>0</v>
      </c>
    </row>
    <row r="275" spans="4:11" s="65" customFormat="1" ht="12.75">
      <c r="D275" s="65" t="s">
        <v>198</v>
      </c>
      <c r="H275" s="65">
        <v>37000</v>
      </c>
      <c r="I275" s="65">
        <v>0</v>
      </c>
      <c r="K275" s="69">
        <f>N170/H275</f>
        <v>0.16218108108108106</v>
      </c>
    </row>
    <row r="276" s="65" customFormat="1" ht="12.75">
      <c r="K276" s="69"/>
    </row>
    <row r="277" spans="4:11" s="65" customFormat="1" ht="12.75">
      <c r="D277" s="65" t="s">
        <v>238</v>
      </c>
      <c r="K277" s="69"/>
    </row>
    <row r="278" spans="4:11" s="65" customFormat="1" ht="12.75">
      <c r="D278" s="65" t="s">
        <v>239</v>
      </c>
      <c r="F278" s="65" t="s">
        <v>240</v>
      </c>
      <c r="K278" s="69"/>
    </row>
    <row r="279" spans="4:11" s="65" customFormat="1" ht="12.75">
      <c r="D279" s="65" t="s">
        <v>191</v>
      </c>
      <c r="K279" s="69"/>
    </row>
    <row r="280" spans="4:11" s="65" customFormat="1" ht="12.75">
      <c r="D280" s="65" t="s">
        <v>158</v>
      </c>
      <c r="H280" s="65">
        <v>450</v>
      </c>
      <c r="I280" s="65">
        <v>0</v>
      </c>
      <c r="K280" s="69">
        <f>N173/H280</f>
        <v>0</v>
      </c>
    </row>
    <row r="281" spans="4:11" s="65" customFormat="1" ht="12.75">
      <c r="D281" s="65" t="s">
        <v>196</v>
      </c>
      <c r="H281" s="65">
        <v>375</v>
      </c>
      <c r="I281" s="65">
        <v>0</v>
      </c>
      <c r="K281" s="69">
        <f>N174/H281</f>
        <v>0</v>
      </c>
    </row>
    <row r="282" spans="4:11" s="65" customFormat="1" ht="12.75">
      <c r="D282" s="65" t="s">
        <v>198</v>
      </c>
      <c r="H282" s="65">
        <v>310</v>
      </c>
      <c r="I282" s="65">
        <v>0</v>
      </c>
      <c r="K282" s="69">
        <f>N175/H282</f>
        <v>0.45806451612903226</v>
      </c>
    </row>
    <row r="283" spans="5:11" s="65" customFormat="1" ht="12.75">
      <c r="E283" s="65" t="s">
        <v>201</v>
      </c>
      <c r="G283" s="65">
        <v>0</v>
      </c>
      <c r="I283" s="65">
        <v>0</v>
      </c>
      <c r="K283" s="69"/>
    </row>
    <row r="284" s="65" customFormat="1" ht="12.75">
      <c r="K284" s="69"/>
    </row>
    <row r="285" spans="1:11" s="65" customFormat="1" ht="12.75">
      <c r="A285" s="65" t="s">
        <v>241</v>
      </c>
      <c r="B285" s="65" t="s">
        <v>242</v>
      </c>
      <c r="D285" s="65" t="s">
        <v>243</v>
      </c>
      <c r="K285" s="69"/>
    </row>
    <row r="286" spans="4:11" s="65" customFormat="1" ht="12.75">
      <c r="D286" s="65" t="s">
        <v>244</v>
      </c>
      <c r="F286" s="65" t="s">
        <v>240</v>
      </c>
      <c r="K286" s="69"/>
    </row>
    <row r="287" spans="4:11" s="65" customFormat="1" ht="12.75">
      <c r="D287" s="65" t="s">
        <v>245</v>
      </c>
      <c r="K287" s="69"/>
    </row>
    <row r="288" spans="4:11" s="65" customFormat="1" ht="12.75">
      <c r="D288" s="65" t="s">
        <v>158</v>
      </c>
      <c r="H288" s="65">
        <v>2350</v>
      </c>
      <c r="I288" s="65">
        <v>0</v>
      </c>
      <c r="K288" s="69">
        <f>N173/H288</f>
        <v>0</v>
      </c>
    </row>
    <row r="289" spans="4:11" s="65" customFormat="1" ht="12.75">
      <c r="D289" s="65" t="s">
        <v>196</v>
      </c>
      <c r="H289" s="65">
        <v>2250</v>
      </c>
      <c r="I289" s="65">
        <v>0</v>
      </c>
      <c r="K289" s="69">
        <f>N174/H289</f>
        <v>0</v>
      </c>
    </row>
    <row r="290" spans="4:11" s="65" customFormat="1" ht="12.75">
      <c r="D290" s="65" t="s">
        <v>198</v>
      </c>
      <c r="H290" s="65">
        <v>2200</v>
      </c>
      <c r="I290" s="65">
        <v>0</v>
      </c>
      <c r="K290" s="69">
        <f>N175/H290</f>
        <v>0.06454545454545454</v>
      </c>
    </row>
    <row r="291" spans="5:11" s="65" customFormat="1" ht="12.75">
      <c r="E291" s="65" t="s">
        <v>201</v>
      </c>
      <c r="G291" s="65">
        <v>0</v>
      </c>
      <c r="I291" s="65">
        <v>0</v>
      </c>
      <c r="K291" s="69"/>
    </row>
    <row r="292" s="65" customFormat="1" ht="12.75">
      <c r="K292" s="69">
        <f>K154+K155+K156+K164+K165+K166+K171+K172+K173+K177+K178+K179+K185+K186+K187+K191+K192+K193+K199+K200+K201+K205+K206+K207+K213+K214+K215+K219+K220+K221+K228+K229+K230+K234+K235+K236+K240+K241+K242+K249+K250+K251+K256+K257+K258+K262+K263+K264+K273+K274+K275+K280+K281+K282+K288+K289+K290</f>
        <v>1.3986294398555676</v>
      </c>
    </row>
    <row r="293" spans="1:11" s="65" customFormat="1" ht="12.75">
      <c r="A293" s="65" t="s">
        <v>246</v>
      </c>
      <c r="B293" s="65" t="s">
        <v>247</v>
      </c>
      <c r="F293" s="65" t="s">
        <v>248</v>
      </c>
      <c r="I293" s="65">
        <v>1</v>
      </c>
      <c r="K293" s="69">
        <f>K292*1.12</f>
        <v>1.5664649726382358</v>
      </c>
    </row>
    <row r="294" s="65" customFormat="1" ht="12.75">
      <c r="B294" s="65" t="s">
        <v>249</v>
      </c>
    </row>
    <row r="295" s="65" customFormat="1" ht="12.75">
      <c r="B295" s="65" t="s">
        <v>250</v>
      </c>
    </row>
    <row r="296" s="65" customFormat="1" ht="12.75"/>
    <row r="297" spans="1:9" s="65" customFormat="1" ht="12.75">
      <c r="A297" s="65" t="s">
        <v>251</v>
      </c>
      <c r="B297" s="65" t="s">
        <v>252</v>
      </c>
      <c r="I297" s="65">
        <v>2</v>
      </c>
    </row>
    <row r="298" spans="1:9" s="65" customFormat="1" ht="12.75">
      <c r="A298" s="65" t="s">
        <v>253</v>
      </c>
      <c r="B298" s="65" t="s">
        <v>254</v>
      </c>
      <c r="I298" s="65">
        <v>1</v>
      </c>
    </row>
    <row r="299" spans="1:9" s="65" customFormat="1" ht="12.75">
      <c r="A299" s="65" t="s">
        <v>255</v>
      </c>
      <c r="B299" s="65" t="s">
        <v>256</v>
      </c>
      <c r="I299" s="65">
        <v>1</v>
      </c>
    </row>
    <row r="300" spans="2:9" s="65" customFormat="1" ht="12.75">
      <c r="B300" s="65" t="s">
        <v>257</v>
      </c>
      <c r="I300" s="65">
        <v>5</v>
      </c>
    </row>
    <row r="301" s="65" customFormat="1" ht="12.75">
      <c r="F301" s="65" t="s">
        <v>258</v>
      </c>
    </row>
    <row r="302" spans="1:9" s="65" customFormat="1" ht="12.75">
      <c r="A302" s="65" t="s">
        <v>259</v>
      </c>
      <c r="B302" s="65" t="s">
        <v>260</v>
      </c>
      <c r="E302" s="65" t="s">
        <v>261</v>
      </c>
      <c r="G302" s="65">
        <v>1388</v>
      </c>
      <c r="H302" s="65">
        <v>1200</v>
      </c>
      <c r="I302" s="78">
        <f>G302/H302</f>
        <v>1.1566666666666667</v>
      </c>
    </row>
    <row r="303" spans="5:9" s="65" customFormat="1" ht="12.75">
      <c r="E303" s="65" t="s">
        <v>262</v>
      </c>
      <c r="H303" s="65">
        <v>1650</v>
      </c>
      <c r="I303" s="78">
        <f>G303/H303</f>
        <v>0</v>
      </c>
    </row>
    <row r="304" spans="5:9" s="65" customFormat="1" ht="12.75">
      <c r="E304" s="65" t="s">
        <v>263</v>
      </c>
      <c r="G304" s="65">
        <v>3672</v>
      </c>
      <c r="H304" s="65">
        <v>9000</v>
      </c>
      <c r="I304" s="78">
        <f>G304/H304</f>
        <v>0.408</v>
      </c>
    </row>
    <row r="305" spans="3:9" s="65" customFormat="1" ht="12.75">
      <c r="C305" s="65" t="s">
        <v>201</v>
      </c>
      <c r="G305" s="65">
        <f>G302+G304</f>
        <v>5060</v>
      </c>
      <c r="I305" s="78">
        <f>I302+I303+I304</f>
        <v>1.5646666666666667</v>
      </c>
    </row>
    <row r="306" spans="6:9" s="65" customFormat="1" ht="12.75">
      <c r="F306" s="65" t="s">
        <v>258</v>
      </c>
      <c r="I306" s="78"/>
    </row>
    <row r="307" spans="1:9" s="65" customFormat="1" ht="12.75">
      <c r="A307" s="65" t="s">
        <v>264</v>
      </c>
      <c r="B307" s="65" t="s">
        <v>265</v>
      </c>
      <c r="E307" s="65" t="s">
        <v>266</v>
      </c>
      <c r="H307" s="65">
        <v>800</v>
      </c>
      <c r="I307" s="78">
        <f>G307/H307</f>
        <v>0</v>
      </c>
    </row>
    <row r="308" spans="2:9" s="65" customFormat="1" ht="12.75">
      <c r="B308" s="65" t="s">
        <v>267</v>
      </c>
      <c r="E308" s="65" t="s">
        <v>268</v>
      </c>
      <c r="G308" s="65">
        <v>529</v>
      </c>
      <c r="H308" s="65">
        <v>960</v>
      </c>
      <c r="I308" s="78">
        <f>G308/H308</f>
        <v>0.5510416666666667</v>
      </c>
    </row>
    <row r="309" spans="5:9" s="65" customFormat="1" ht="12.75">
      <c r="E309" s="65" t="s">
        <v>269</v>
      </c>
      <c r="I309" s="78"/>
    </row>
    <row r="310" spans="3:9" s="65" customFormat="1" ht="12.75">
      <c r="C310" s="65" t="s">
        <v>201</v>
      </c>
      <c r="G310" s="65">
        <f>G307+G308+G309</f>
        <v>529</v>
      </c>
      <c r="I310" s="78">
        <f>I307+I308</f>
        <v>0.5510416666666667</v>
      </c>
    </row>
    <row r="311" spans="6:9" s="65" customFormat="1" ht="12.75">
      <c r="F311" s="65" t="s">
        <v>270</v>
      </c>
      <c r="I311" s="78"/>
    </row>
    <row r="312" spans="1:9" s="65" customFormat="1" ht="12.75">
      <c r="A312" s="65" t="s">
        <v>271</v>
      </c>
      <c r="B312" s="65" t="s">
        <v>272</v>
      </c>
      <c r="E312" s="65" t="s">
        <v>273</v>
      </c>
      <c r="G312" s="65">
        <v>306</v>
      </c>
      <c r="H312" s="65">
        <v>500</v>
      </c>
      <c r="I312" s="78">
        <f>G312/H312</f>
        <v>0.612</v>
      </c>
    </row>
    <row r="313" spans="5:9" s="65" customFormat="1" ht="12.75">
      <c r="E313" s="65" t="s">
        <v>274</v>
      </c>
      <c r="H313" s="65">
        <v>700</v>
      </c>
      <c r="I313" s="78">
        <f>G313/H313</f>
        <v>0</v>
      </c>
    </row>
    <row r="314" spans="5:9" s="65" customFormat="1" ht="12.75">
      <c r="E314" s="65" t="s">
        <v>275</v>
      </c>
      <c r="I314" s="78"/>
    </row>
    <row r="315" spans="3:9" s="65" customFormat="1" ht="12.75">
      <c r="C315" s="65" t="s">
        <v>201</v>
      </c>
      <c r="G315" s="65">
        <v>0</v>
      </c>
      <c r="I315" s="78">
        <f>I312+I313</f>
        <v>0.612</v>
      </c>
    </row>
    <row r="316" spans="1:2" s="65" customFormat="1" ht="12.75">
      <c r="A316" s="65" t="s">
        <v>276</v>
      </c>
      <c r="B316" s="65" t="s">
        <v>277</v>
      </c>
    </row>
    <row r="317" spans="2:9" s="65" customFormat="1" ht="12.75">
      <c r="B317" s="65" t="s">
        <v>278</v>
      </c>
      <c r="I317" s="65">
        <v>2</v>
      </c>
    </row>
  </sheetData>
  <sheetProtection/>
  <mergeCells count="50">
    <mergeCell ref="A120:G120"/>
    <mergeCell ref="A124:D124"/>
    <mergeCell ref="C105:I105"/>
    <mergeCell ref="A114:G114"/>
    <mergeCell ref="A118:E118"/>
    <mergeCell ref="A83:D83"/>
    <mergeCell ref="E83:G83"/>
    <mergeCell ref="A84:E84"/>
    <mergeCell ref="A70:D70"/>
    <mergeCell ref="A71:F71"/>
    <mergeCell ref="A74:E74"/>
    <mergeCell ref="C78:D78"/>
    <mergeCell ref="A81:F81"/>
    <mergeCell ref="A82:G82"/>
    <mergeCell ref="A53:G53"/>
    <mergeCell ref="A55:G55"/>
    <mergeCell ref="A61:F61"/>
    <mergeCell ref="A65:G65"/>
    <mergeCell ref="A67:G67"/>
    <mergeCell ref="A68:G68"/>
    <mergeCell ref="A44:G44"/>
    <mergeCell ref="A45:G45"/>
    <mergeCell ref="A46:F46"/>
    <mergeCell ref="A47:F47"/>
    <mergeCell ref="A51:F51"/>
    <mergeCell ref="A52:F52"/>
    <mergeCell ref="A38:G38"/>
    <mergeCell ref="A39:G39"/>
    <mergeCell ref="A40:D40"/>
    <mergeCell ref="A41:G41"/>
    <mergeCell ref="A42:G42"/>
    <mergeCell ref="A43:G43"/>
    <mergeCell ref="A30:G30"/>
    <mergeCell ref="A31:G31"/>
    <mergeCell ref="A33:E33"/>
    <mergeCell ref="A35:G35"/>
    <mergeCell ref="A36:G36"/>
    <mergeCell ref="A37:G37"/>
    <mergeCell ref="A21:F21"/>
    <mergeCell ref="A22:F22"/>
    <mergeCell ref="A26:F26"/>
    <mergeCell ref="A27:G27"/>
    <mergeCell ref="A28:G28"/>
    <mergeCell ref="A29:G29"/>
    <mergeCell ref="A1:K1"/>
    <mergeCell ref="A2:K2"/>
    <mergeCell ref="A4:K4"/>
    <mergeCell ref="A5:K5"/>
    <mergeCell ref="A16:G16"/>
    <mergeCell ref="A20:F20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H114 H120 K114" evalError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P345"/>
  <sheetViews>
    <sheetView zoomScalePageLayoutView="0" workbookViewId="0" topLeftCell="A1">
      <selection activeCell="F102" sqref="F102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710937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6" width="9.140625" style="65" customWidth="1"/>
    <col min="17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>
      <c r="A4" s="127" t="s">
        <v>447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4.25">
      <c r="A5" s="129" t="s">
        <v>604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4.25">
      <c r="A6" s="14" t="s">
        <v>539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4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N7" s="65">
        <f>11.18*1.042</f>
        <v>11.64956</v>
      </c>
    </row>
    <row r="8" spans="1:14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N8" s="65">
        <f>N7*4%</f>
        <v>0.46598239999999996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6" s="9" customFormat="1" ht="15.75">
      <c r="A11" s="11"/>
      <c r="B11" s="11"/>
      <c r="C11" s="12"/>
      <c r="D11" s="11"/>
      <c r="K11" s="5"/>
      <c r="L11" s="67">
        <f>E14</f>
        <v>42598.75224</v>
      </c>
      <c r="M11" s="67"/>
      <c r="N11" s="67"/>
      <c r="O11" s="67"/>
      <c r="P11" s="67"/>
    </row>
    <row r="12" spans="1:16" s="9" customFormat="1" ht="15.75">
      <c r="A12" s="11" t="s">
        <v>69</v>
      </c>
      <c r="B12" s="11"/>
      <c r="C12" s="12"/>
      <c r="D12" s="11"/>
      <c r="E12" s="9">
        <f>34005.45*1.042</f>
        <v>35433.6789</v>
      </c>
      <c r="F12" s="9" t="s">
        <v>70</v>
      </c>
      <c r="H12" s="13"/>
      <c r="I12" s="13"/>
      <c r="K12" s="13"/>
      <c r="L12" s="92" t="e">
        <f>(K19+K34+K62+K73+K91+K101+#REF!+#REF!)</f>
        <v>#REF!</v>
      </c>
      <c r="M12" s="67"/>
      <c r="N12" s="67"/>
      <c r="O12" s="67"/>
      <c r="P12" s="67"/>
    </row>
    <row r="13" spans="1:16" s="9" customFormat="1" ht="15.75">
      <c r="A13" s="11" t="s">
        <v>420</v>
      </c>
      <c r="B13" s="11"/>
      <c r="C13" s="12"/>
      <c r="D13" s="11"/>
      <c r="E13" s="9">
        <f>6876.27*1.042</f>
        <v>7165.073340000001</v>
      </c>
      <c r="F13" s="9" t="s">
        <v>70</v>
      </c>
      <c r="H13" s="13"/>
      <c r="I13" s="13"/>
      <c r="K13" s="13"/>
      <c r="L13" s="67" t="e">
        <f>(L11-L12)*15%</f>
        <v>#REF!</v>
      </c>
      <c r="M13" s="67"/>
      <c r="N13" s="67"/>
      <c r="O13" s="67"/>
      <c r="P13" s="67"/>
    </row>
    <row r="14" spans="1:16" s="9" customFormat="1" ht="15.75">
      <c r="A14" s="11" t="s">
        <v>421</v>
      </c>
      <c r="B14" s="11"/>
      <c r="C14" s="12"/>
      <c r="D14" s="11"/>
      <c r="E14" s="9">
        <f>E12+E13</f>
        <v>42598.75224</v>
      </c>
      <c r="F14" s="9" t="s">
        <v>70</v>
      </c>
      <c r="H14" s="13"/>
      <c r="I14" s="13"/>
      <c r="K14" s="13"/>
      <c r="L14" s="92" t="e">
        <f>K19+K34+K62+K73+K91+#REF!+#REF!+K101</f>
        <v>#REF!</v>
      </c>
      <c r="M14" s="67"/>
      <c r="N14" s="67"/>
      <c r="O14" s="67"/>
      <c r="P14" s="67"/>
    </row>
    <row r="15" spans="3:16" s="9" customFormat="1" ht="15.75">
      <c r="C15" s="15" t="s">
        <v>71</v>
      </c>
      <c r="D15" s="15"/>
      <c r="K15" s="5"/>
      <c r="L15" s="67"/>
      <c r="M15" s="67"/>
      <c r="N15" s="67"/>
      <c r="O15" s="67"/>
      <c r="P15" s="67"/>
    </row>
    <row r="16" spans="1:13" ht="15.75">
      <c r="A16" s="114" t="s">
        <v>72</v>
      </c>
      <c r="B16" s="114"/>
      <c r="C16" s="114"/>
      <c r="D16" s="114"/>
      <c r="E16" s="114"/>
      <c r="F16" s="114"/>
      <c r="G16" s="114"/>
      <c r="H16" s="16"/>
      <c r="I16" s="16"/>
      <c r="J16" s="16"/>
      <c r="K16" s="17">
        <f>K19+K34+K73+K91+K101-K116+K62</f>
        <v>49458.28276446042</v>
      </c>
      <c r="L16" s="68"/>
      <c r="M16" s="65" t="s">
        <v>605</v>
      </c>
    </row>
    <row r="17" spans="1:15" ht="15.75">
      <c r="A17" s="15"/>
      <c r="B17" s="15"/>
      <c r="C17" s="19"/>
      <c r="D17" s="15"/>
      <c r="E17" s="15"/>
      <c r="F17" s="15"/>
      <c r="G17" s="15"/>
      <c r="H17" s="15"/>
      <c r="I17" s="15"/>
      <c r="J17" s="15"/>
      <c r="K17" s="18"/>
      <c r="M17" s="65" t="s">
        <v>314</v>
      </c>
      <c r="O17" s="65">
        <v>3662.4</v>
      </c>
    </row>
    <row r="18" spans="1:13" ht="15.75">
      <c r="A18" s="15"/>
      <c r="B18" s="15"/>
      <c r="C18" s="19"/>
      <c r="D18" s="15"/>
      <c r="E18" s="15"/>
      <c r="F18" s="15"/>
      <c r="G18" s="15"/>
      <c r="H18" s="15"/>
      <c r="I18" s="15"/>
      <c r="J18" s="15"/>
      <c r="K18" s="18"/>
      <c r="L18" s="69"/>
      <c r="M18" s="65" t="s">
        <v>310</v>
      </c>
    </row>
    <row r="19" spans="1:15" ht="15.75">
      <c r="A19" s="20" t="s">
        <v>147</v>
      </c>
      <c r="B19" s="20"/>
      <c r="C19" s="20"/>
      <c r="D19" s="20"/>
      <c r="E19" s="20"/>
      <c r="F19" s="20"/>
      <c r="G19" s="20"/>
      <c r="H19" s="20"/>
      <c r="I19" s="21"/>
      <c r="J19" s="20"/>
      <c r="K19" s="21">
        <f>H21+H23+H25+H28+H29+H30+H31+H32</f>
        <v>8511.677783265</v>
      </c>
      <c r="M19" s="65" t="s">
        <v>76</v>
      </c>
      <c r="O19" s="78">
        <f>I333</f>
        <v>1.0616666666666668</v>
      </c>
    </row>
    <row r="20" spans="1:15" ht="12.75">
      <c r="A20" s="22" t="s">
        <v>77</v>
      </c>
      <c r="B20" s="22"/>
      <c r="C20" s="22"/>
      <c r="D20" s="22"/>
      <c r="E20" s="22"/>
      <c r="F20" s="22"/>
      <c r="G20" s="22"/>
      <c r="H20" s="22"/>
      <c r="I20" s="22"/>
      <c r="J20" s="22">
        <v>2972395.8</v>
      </c>
      <c r="K20" s="23"/>
      <c r="M20" s="65" t="s">
        <v>78</v>
      </c>
      <c r="O20" s="78">
        <f>I338</f>
        <v>0.5941666666666666</v>
      </c>
    </row>
    <row r="21" spans="1:15" ht="12.75">
      <c r="A21" s="113" t="s">
        <v>384</v>
      </c>
      <c r="B21" s="113"/>
      <c r="C21" s="113"/>
      <c r="D21" s="113"/>
      <c r="E21" s="113"/>
      <c r="F21" s="113"/>
      <c r="G21" s="22"/>
      <c r="H21" s="23">
        <f>O19*2600*1.75*1.07</f>
        <v>5168.724166666668</v>
      </c>
      <c r="I21" s="22"/>
      <c r="J21" s="22"/>
      <c r="K21" s="23"/>
      <c r="M21" s="65" t="s">
        <v>80</v>
      </c>
      <c r="O21" s="78"/>
    </row>
    <row r="22" spans="1:11" ht="12.75">
      <c r="A22" s="24"/>
      <c r="B22" s="24"/>
      <c r="C22" s="24"/>
      <c r="D22" s="24"/>
      <c r="E22" s="24"/>
      <c r="F22" s="24"/>
      <c r="G22" s="22"/>
      <c r="H22" s="23"/>
      <c r="I22" s="22"/>
      <c r="J22" s="22"/>
      <c r="K22" s="23"/>
    </row>
    <row r="23" spans="1:15" ht="12.75">
      <c r="A23" s="113" t="s">
        <v>315</v>
      </c>
      <c r="B23" s="113"/>
      <c r="C23" s="113"/>
      <c r="D23" s="113"/>
      <c r="E23" s="113"/>
      <c r="F23" s="113"/>
      <c r="G23" s="22"/>
      <c r="H23" s="23">
        <f>O20*2203*1.3*1.07</f>
        <v>1820.7482908333334</v>
      </c>
      <c r="I23" s="22"/>
      <c r="J23" s="22"/>
      <c r="K23" s="23"/>
      <c r="M23" s="65" t="s">
        <v>83</v>
      </c>
      <c r="O23" s="65">
        <v>203</v>
      </c>
    </row>
    <row r="24" spans="1:13" ht="12.75">
      <c r="A24" s="22"/>
      <c r="B24" s="22"/>
      <c r="C24" s="22"/>
      <c r="D24" s="22"/>
      <c r="E24" s="22"/>
      <c r="F24" s="22"/>
      <c r="G24" s="22"/>
      <c r="H24" s="23"/>
      <c r="I24" s="22"/>
      <c r="J24" s="22"/>
      <c r="M24" s="65" t="s">
        <v>316</v>
      </c>
    </row>
    <row r="25" spans="1:16" ht="12.75">
      <c r="A25" s="23">
        <f>H21+H23</f>
        <v>6989.472457500001</v>
      </c>
      <c r="B25" s="22" t="s">
        <v>84</v>
      </c>
      <c r="C25" s="22"/>
      <c r="D25" s="22"/>
      <c r="E25" s="22"/>
      <c r="F25" s="22"/>
      <c r="G25" s="22"/>
      <c r="H25" s="23">
        <f>(H21+H23)*14.2%</f>
        <v>992.505088965</v>
      </c>
      <c r="I25" s="22"/>
      <c r="J25" s="22">
        <v>781740.1</v>
      </c>
      <c r="K25" s="25"/>
      <c r="L25" s="70"/>
      <c r="M25" s="65" t="s">
        <v>85</v>
      </c>
      <c r="P25" s="65">
        <f>O25/2</f>
        <v>0</v>
      </c>
    </row>
    <row r="26" spans="1:16" ht="12.75">
      <c r="A26" s="22" t="s">
        <v>86</v>
      </c>
      <c r="B26" s="22"/>
      <c r="C26" s="22"/>
      <c r="D26" s="22"/>
      <c r="E26" s="22"/>
      <c r="F26" s="22"/>
      <c r="G26" s="22"/>
      <c r="H26" s="23"/>
      <c r="I26" s="22"/>
      <c r="J26" s="22">
        <v>113966.82</v>
      </c>
      <c r="K26" s="23"/>
      <c r="N26" s="65">
        <v>9</v>
      </c>
      <c r="P26" s="65">
        <f>O26/2</f>
        <v>0</v>
      </c>
    </row>
    <row r="27" spans="1:11" ht="12.75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3"/>
    </row>
    <row r="28" spans="1:16" ht="12.75">
      <c r="A28" s="113" t="s">
        <v>606</v>
      </c>
      <c r="B28" s="113"/>
      <c r="C28" s="113"/>
      <c r="D28" s="113"/>
      <c r="E28" s="113"/>
      <c r="F28" s="113"/>
      <c r="G28" s="22"/>
      <c r="H28" s="23">
        <f>0.057*O17</f>
        <v>208.75680000000003</v>
      </c>
      <c r="I28" s="23"/>
      <c r="J28" s="22"/>
      <c r="K28" s="23"/>
      <c r="L28" s="65">
        <f>0.057*O17</f>
        <v>208.75680000000003</v>
      </c>
      <c r="N28" s="65">
        <v>10</v>
      </c>
      <c r="P28" s="65">
        <f>O28/2</f>
        <v>0</v>
      </c>
    </row>
    <row r="29" spans="1:14" ht="12.75">
      <c r="A29" s="113" t="s">
        <v>607</v>
      </c>
      <c r="B29" s="113"/>
      <c r="C29" s="113"/>
      <c r="D29" s="113"/>
      <c r="E29" s="113"/>
      <c r="F29" s="113"/>
      <c r="G29" s="113"/>
      <c r="H29" s="23">
        <f>0.0085*O17</f>
        <v>31.1304</v>
      </c>
      <c r="I29" s="23"/>
      <c r="J29" s="22"/>
      <c r="K29" s="23"/>
      <c r="L29" s="65">
        <f>0.0085*O17</f>
        <v>31.1304</v>
      </c>
      <c r="N29" s="65">
        <v>16</v>
      </c>
    </row>
    <row r="30" spans="1:13" ht="12.75">
      <c r="A30" s="113" t="s">
        <v>608</v>
      </c>
      <c r="B30" s="113"/>
      <c r="C30" s="113"/>
      <c r="D30" s="113"/>
      <c r="E30" s="113"/>
      <c r="F30" s="113"/>
      <c r="G30" s="113"/>
      <c r="H30" s="23">
        <f>O17*0.005</f>
        <v>18.312</v>
      </c>
      <c r="I30" s="22"/>
      <c r="J30" s="22"/>
      <c r="K30" s="23"/>
      <c r="L30" s="65">
        <f>0.005*O17</f>
        <v>18.312</v>
      </c>
      <c r="M30" s="65" t="s">
        <v>90</v>
      </c>
    </row>
    <row r="31" spans="1:15" ht="12.75">
      <c r="A31" s="113" t="s">
        <v>609</v>
      </c>
      <c r="B31" s="113"/>
      <c r="C31" s="113"/>
      <c r="D31" s="113"/>
      <c r="E31" s="113"/>
      <c r="F31" s="113"/>
      <c r="G31" s="113"/>
      <c r="H31" s="23">
        <f>0.017*O17</f>
        <v>62.2608</v>
      </c>
      <c r="I31" s="22"/>
      <c r="J31" s="22">
        <v>13606.82</v>
      </c>
      <c r="K31" s="23"/>
      <c r="L31" s="65">
        <f>0.017*O17</f>
        <v>62.2608</v>
      </c>
      <c r="M31" s="65" t="s">
        <v>92</v>
      </c>
      <c r="O31" s="65">
        <v>21</v>
      </c>
    </row>
    <row r="32" spans="1:15" ht="12.75">
      <c r="A32" s="113" t="s">
        <v>610</v>
      </c>
      <c r="B32" s="113"/>
      <c r="C32" s="113"/>
      <c r="D32" s="113"/>
      <c r="E32" s="113"/>
      <c r="F32" s="113"/>
      <c r="G32" s="113"/>
      <c r="H32" s="23">
        <f>0.054*O17*1.058</f>
        <v>209.24023680000002</v>
      </c>
      <c r="I32" s="22"/>
      <c r="J32" s="22"/>
      <c r="K32" s="23"/>
      <c r="L32" s="65">
        <f>0.054*O17</f>
        <v>197.7696</v>
      </c>
      <c r="M32" s="65" t="s">
        <v>94</v>
      </c>
      <c r="O32" s="65">
        <v>2550</v>
      </c>
    </row>
    <row r="33" spans="1:11" ht="12.75">
      <c r="A33" s="24"/>
      <c r="B33" s="24"/>
      <c r="C33" s="24"/>
      <c r="D33" s="24"/>
      <c r="E33" s="24"/>
      <c r="F33" s="24"/>
      <c r="G33" s="24"/>
      <c r="H33" s="23"/>
      <c r="I33" s="22"/>
      <c r="J33" s="22"/>
      <c r="K33" s="23"/>
    </row>
    <row r="34" spans="1:15" ht="15.75">
      <c r="A34" s="110" t="s">
        <v>95</v>
      </c>
      <c r="B34" s="110"/>
      <c r="C34" s="110"/>
      <c r="D34" s="110"/>
      <c r="E34" s="110"/>
      <c r="F34" s="20"/>
      <c r="G34" s="20"/>
      <c r="H34" s="27"/>
      <c r="I34" s="20"/>
      <c r="J34" s="20"/>
      <c r="K34" s="21">
        <f>H36+H38+H40+H42+H44+H46+H48+H50+H52+H54+H56+H58+H60+H55</f>
        <v>12097.73413</v>
      </c>
      <c r="M34" s="65" t="s">
        <v>96</v>
      </c>
      <c r="O34" s="69">
        <f>K321</f>
        <v>1.4215593807394216</v>
      </c>
    </row>
    <row r="35" spans="1:11" ht="12.75">
      <c r="A35" s="22"/>
      <c r="B35" s="22" t="s">
        <v>64</v>
      </c>
      <c r="C35" s="22"/>
      <c r="D35" s="22"/>
      <c r="E35" s="22"/>
      <c r="F35" s="22"/>
      <c r="G35" s="22"/>
      <c r="H35" s="28"/>
      <c r="I35" s="22"/>
      <c r="J35" s="22"/>
      <c r="K35" s="29"/>
    </row>
    <row r="36" spans="1:11" ht="12.75">
      <c r="A36" s="113" t="s">
        <v>611</v>
      </c>
      <c r="B36" s="113"/>
      <c r="C36" s="113"/>
      <c r="D36" s="113"/>
      <c r="E36" s="113"/>
      <c r="F36" s="113"/>
      <c r="G36" s="113"/>
      <c r="H36" s="28">
        <f>(O23*1.5)/12*90.3*1.058</f>
        <v>2424.261525</v>
      </c>
      <c r="I36" s="22"/>
      <c r="J36" s="22"/>
      <c r="K36" s="29"/>
    </row>
    <row r="37" spans="1:11" ht="12.75">
      <c r="A37" s="24"/>
      <c r="B37" s="24"/>
      <c r="C37" s="24"/>
      <c r="D37" s="24"/>
      <c r="E37" s="24"/>
      <c r="F37" s="24"/>
      <c r="G37" s="24"/>
      <c r="H37" s="28"/>
      <c r="I37" s="22"/>
      <c r="J37" s="22"/>
      <c r="K37" s="29"/>
    </row>
    <row r="38" spans="1:12" ht="12.75">
      <c r="A38" s="113" t="s">
        <v>612</v>
      </c>
      <c r="B38" s="113"/>
      <c r="C38" s="113"/>
      <c r="D38" s="113"/>
      <c r="E38" s="113"/>
      <c r="F38" s="113"/>
      <c r="G38" s="113"/>
      <c r="H38" s="28">
        <f>O23*1.5*33.1/12*1.058</f>
        <v>888.627425</v>
      </c>
      <c r="I38" s="22"/>
      <c r="J38" s="22"/>
      <c r="K38" s="29"/>
      <c r="L38" s="65" t="e">
        <f>1.16*#REF!</f>
        <v>#REF!</v>
      </c>
    </row>
    <row r="39" spans="1:11" ht="12.75">
      <c r="A39" s="24"/>
      <c r="B39" s="24"/>
      <c r="C39" s="24"/>
      <c r="D39" s="24"/>
      <c r="E39" s="24"/>
      <c r="F39" s="24"/>
      <c r="G39" s="24"/>
      <c r="H39" s="28"/>
      <c r="I39" s="22"/>
      <c r="J39" s="22"/>
      <c r="K39" s="29"/>
    </row>
    <row r="40" spans="1:11" ht="12.75">
      <c r="A40" s="113" t="s">
        <v>613</v>
      </c>
      <c r="B40" s="113"/>
      <c r="C40" s="113"/>
      <c r="D40" s="113"/>
      <c r="E40" s="113"/>
      <c r="F40" s="113"/>
      <c r="G40" s="113"/>
      <c r="H40" s="28">
        <f>O32*2.24*1.229</f>
        <v>7020.048000000002</v>
      </c>
      <c r="I40" s="22"/>
      <c r="J40" s="22"/>
      <c r="K40" s="29"/>
    </row>
    <row r="41" spans="1:11" ht="12.75">
      <c r="A41" s="24"/>
      <c r="B41" s="24"/>
      <c r="C41" s="24"/>
      <c r="D41" s="24"/>
      <c r="E41" s="24"/>
      <c r="F41" s="24"/>
      <c r="G41" s="24"/>
      <c r="H41" s="28"/>
      <c r="I41" s="22"/>
      <c r="J41" s="22"/>
      <c r="K41" s="29"/>
    </row>
    <row r="42" spans="1:11" ht="12.75">
      <c r="A42" s="113" t="s">
        <v>614</v>
      </c>
      <c r="B42" s="113"/>
      <c r="C42" s="113"/>
      <c r="D42" s="113"/>
      <c r="E42" s="113"/>
      <c r="F42" s="113"/>
      <c r="G42" s="113"/>
      <c r="H42" s="28">
        <f>480*1.27/12</f>
        <v>50.800000000000004</v>
      </c>
      <c r="I42" s="22"/>
      <c r="J42" s="22"/>
      <c r="K42" s="29"/>
    </row>
    <row r="43" spans="1:11" ht="12.75">
      <c r="A43" s="24"/>
      <c r="B43" s="24"/>
      <c r="C43" s="24"/>
      <c r="D43" s="24"/>
      <c r="E43" s="24"/>
      <c r="F43" s="24"/>
      <c r="G43" s="24"/>
      <c r="H43" s="28"/>
      <c r="I43" s="22"/>
      <c r="J43" s="22"/>
      <c r="K43" s="29"/>
    </row>
    <row r="44" spans="1:11" ht="12.75">
      <c r="A44" s="113" t="s">
        <v>615</v>
      </c>
      <c r="B44" s="113"/>
      <c r="C44" s="113"/>
      <c r="D44" s="113"/>
      <c r="E44" s="113"/>
      <c r="F44" s="113"/>
      <c r="G44" s="113"/>
      <c r="H44" s="28">
        <f>O17*0.0027</f>
        <v>9.888480000000001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1" ht="12.75">
      <c r="A46" s="113" t="s">
        <v>616</v>
      </c>
      <c r="B46" s="113"/>
      <c r="C46" s="113"/>
      <c r="D46" s="113"/>
      <c r="E46" s="24"/>
      <c r="F46" s="24"/>
      <c r="G46" s="24"/>
      <c r="H46" s="28">
        <f>O17*0.216</f>
        <v>791.0784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2.75">
      <c r="A48" s="113" t="s">
        <v>617</v>
      </c>
      <c r="B48" s="113"/>
      <c r="C48" s="113"/>
      <c r="D48" s="113"/>
      <c r="E48" s="113"/>
      <c r="F48" s="113"/>
      <c r="G48" s="113"/>
      <c r="H48" s="28">
        <f>O31*4.81/12</f>
        <v>8.417499999999999</v>
      </c>
      <c r="I48" s="22"/>
      <c r="J48" s="22"/>
      <c r="K48" s="29"/>
    </row>
    <row r="49" spans="1:11" ht="12.75">
      <c r="A49" s="24"/>
      <c r="B49" s="24"/>
      <c r="C49" s="24"/>
      <c r="D49" s="24"/>
      <c r="E49" s="24"/>
      <c r="F49" s="24"/>
      <c r="G49" s="24"/>
      <c r="H49" s="28"/>
      <c r="I49" s="22"/>
      <c r="J49" s="22"/>
      <c r="K49" s="29"/>
    </row>
    <row r="50" spans="1:11" ht="12.75">
      <c r="A50" s="113" t="s">
        <v>618</v>
      </c>
      <c r="B50" s="113"/>
      <c r="C50" s="113"/>
      <c r="D50" s="113"/>
      <c r="E50" s="113"/>
      <c r="F50" s="113"/>
      <c r="G50" s="113"/>
      <c r="H50" s="28">
        <f>O17*0.109</f>
        <v>399.2016</v>
      </c>
      <c r="I50" s="22"/>
      <c r="J50" s="22"/>
      <c r="K50" s="29"/>
    </row>
    <row r="51" spans="1:11" ht="12.75">
      <c r="A51" s="24"/>
      <c r="B51" s="24"/>
      <c r="C51" s="24"/>
      <c r="D51" s="24"/>
      <c r="E51" s="24"/>
      <c r="F51" s="24"/>
      <c r="G51" s="24"/>
      <c r="H51" s="28"/>
      <c r="I51" s="22"/>
      <c r="J51" s="22"/>
      <c r="K51" s="29"/>
    </row>
    <row r="52" spans="1:12" ht="12.75">
      <c r="A52" s="113" t="s">
        <v>619</v>
      </c>
      <c r="B52" s="113"/>
      <c r="C52" s="113"/>
      <c r="D52" s="113"/>
      <c r="E52" s="113"/>
      <c r="F52" s="113"/>
      <c r="G52" s="113"/>
      <c r="H52" s="28">
        <f>0.027*O17</f>
        <v>98.8848</v>
      </c>
      <c r="I52" s="22"/>
      <c r="J52" s="32"/>
      <c r="K52" s="29"/>
      <c r="L52" s="65">
        <f>0.027*O17</f>
        <v>98.8848</v>
      </c>
    </row>
    <row r="53" spans="1:11" ht="12.75">
      <c r="A53" s="24"/>
      <c r="B53" s="24"/>
      <c r="C53" s="24"/>
      <c r="D53" s="24"/>
      <c r="E53" s="24"/>
      <c r="F53" s="24"/>
      <c r="G53" s="24"/>
      <c r="H53" s="28"/>
      <c r="I53" s="22"/>
      <c r="J53" s="32"/>
      <c r="K53" s="29"/>
    </row>
    <row r="54" spans="1:12" ht="12.75">
      <c r="A54" s="113" t="s">
        <v>620</v>
      </c>
      <c r="B54" s="113"/>
      <c r="C54" s="113"/>
      <c r="D54" s="113"/>
      <c r="E54" s="113"/>
      <c r="F54" s="113"/>
      <c r="G54" s="113"/>
      <c r="H54" s="28">
        <f>0.022*O17</f>
        <v>80.5728</v>
      </c>
      <c r="I54" s="22"/>
      <c r="J54" s="22"/>
      <c r="K54" s="29"/>
      <c r="L54" s="65">
        <f>0.022*O17</f>
        <v>80.5728</v>
      </c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2" ht="12.75">
      <c r="A56" s="113" t="s">
        <v>621</v>
      </c>
      <c r="B56" s="113"/>
      <c r="C56" s="113"/>
      <c r="D56" s="113"/>
      <c r="E56" s="113"/>
      <c r="F56" s="113"/>
      <c r="G56" s="113"/>
      <c r="H56" s="28">
        <f>0.022*O17</f>
        <v>80.5728</v>
      </c>
      <c r="I56" s="22"/>
      <c r="J56" s="22"/>
      <c r="K56" s="29"/>
      <c r="L56" s="65">
        <f>0.021*O17</f>
        <v>76.91040000000001</v>
      </c>
    </row>
    <row r="57" spans="1:11" ht="12.75">
      <c r="A57" s="24"/>
      <c r="B57" s="24"/>
      <c r="C57" s="24"/>
      <c r="D57" s="24"/>
      <c r="E57" s="24"/>
      <c r="F57" s="24"/>
      <c r="G57" s="24"/>
      <c r="H57" s="28"/>
      <c r="I57" s="22"/>
      <c r="J57" s="22"/>
      <c r="K57" s="29"/>
    </row>
    <row r="58" spans="1:11" ht="12.75">
      <c r="A58" s="113" t="s">
        <v>622</v>
      </c>
      <c r="B58" s="113"/>
      <c r="C58" s="113"/>
      <c r="D58" s="113"/>
      <c r="E58" s="113"/>
      <c r="F58" s="113"/>
      <c r="G58" s="24"/>
      <c r="H58" s="28">
        <f>0.053*O17</f>
        <v>194.1072</v>
      </c>
      <c r="I58" s="22"/>
      <c r="J58" s="22"/>
      <c r="K58" s="29"/>
    </row>
    <row r="59" spans="1:11" ht="12.75">
      <c r="A59" s="24"/>
      <c r="B59" s="24"/>
      <c r="C59" s="24"/>
      <c r="D59" s="24"/>
      <c r="E59" s="24"/>
      <c r="F59" s="24"/>
      <c r="G59" s="24"/>
      <c r="H59" s="28"/>
      <c r="I59" s="22"/>
      <c r="J59" s="22"/>
      <c r="K59" s="29"/>
    </row>
    <row r="60" spans="1:12" ht="12.75">
      <c r="A60" s="113" t="s">
        <v>623</v>
      </c>
      <c r="B60" s="113"/>
      <c r="C60" s="113"/>
      <c r="D60" s="113"/>
      <c r="E60" s="113"/>
      <c r="F60" s="113"/>
      <c r="G60" s="24"/>
      <c r="H60" s="28">
        <f>0.014*O17</f>
        <v>51.2736</v>
      </c>
      <c r="I60" s="22"/>
      <c r="J60" s="22"/>
      <c r="K60" s="29"/>
      <c r="L60" s="65">
        <f>0.014*O17</f>
        <v>51.2736</v>
      </c>
    </row>
    <row r="61" spans="1:11" ht="12.75">
      <c r="A61" s="36"/>
      <c r="B61" s="36"/>
      <c r="C61" s="36"/>
      <c r="D61" s="36"/>
      <c r="E61" s="36"/>
      <c r="F61" s="36"/>
      <c r="G61" s="36"/>
      <c r="H61" s="37"/>
      <c r="I61" s="38"/>
      <c r="J61" s="38"/>
      <c r="K61" s="35"/>
    </row>
    <row r="62" spans="1:11" ht="15.75">
      <c r="A62" s="86" t="s">
        <v>148</v>
      </c>
      <c r="B62" s="86"/>
      <c r="C62" s="86"/>
      <c r="D62" s="86"/>
      <c r="E62" s="86"/>
      <c r="F62" s="86"/>
      <c r="G62" s="86"/>
      <c r="H62" s="87"/>
      <c r="I62" s="88"/>
      <c r="J62" s="88">
        <v>9460.05</v>
      </c>
      <c r="K62" s="89">
        <f>H64+H66+H68+H70+H71</f>
        <v>8154.556676470588</v>
      </c>
    </row>
    <row r="63" spans="1:11" ht="12.75">
      <c r="A63" s="24"/>
      <c r="B63" s="24" t="s">
        <v>64</v>
      </c>
      <c r="C63" s="24"/>
      <c r="D63" s="24"/>
      <c r="E63" s="24"/>
      <c r="F63" s="24"/>
      <c r="G63" s="24"/>
      <c r="H63" s="28"/>
      <c r="I63" s="22"/>
      <c r="J63" s="22"/>
      <c r="K63" s="29"/>
    </row>
    <row r="64" spans="1:13" ht="12.75">
      <c r="A64" s="113" t="s">
        <v>624</v>
      </c>
      <c r="B64" s="113"/>
      <c r="C64" s="113"/>
      <c r="D64" s="113"/>
      <c r="E64" s="113"/>
      <c r="F64" s="113"/>
      <c r="G64" s="24"/>
      <c r="H64" s="28">
        <f>O17*2.07</f>
        <v>7581.168</v>
      </c>
      <c r="I64" s="22"/>
      <c r="J64" s="22"/>
      <c r="K64" s="29"/>
      <c r="M64" s="65">
        <v>18024</v>
      </c>
    </row>
    <row r="65" spans="1:11" ht="12.75">
      <c r="A65" s="24"/>
      <c r="B65" s="24"/>
      <c r="C65" s="24"/>
      <c r="D65" s="24"/>
      <c r="E65" s="24"/>
      <c r="F65" s="24"/>
      <c r="G65" s="24"/>
      <c r="H65" s="28"/>
      <c r="I65" s="22"/>
      <c r="J65" s="22"/>
      <c r="K65" s="29"/>
    </row>
    <row r="66" spans="1:11" ht="12.75">
      <c r="A66" s="113" t="s">
        <v>625</v>
      </c>
      <c r="B66" s="113"/>
      <c r="C66" s="113"/>
      <c r="D66" s="113"/>
      <c r="E66" s="113"/>
      <c r="F66" s="113"/>
      <c r="G66" s="24"/>
      <c r="H66" s="28">
        <f>1596*2/12</f>
        <v>266</v>
      </c>
      <c r="I66" s="22"/>
      <c r="J66" s="22"/>
      <c r="K66" s="29"/>
    </row>
    <row r="67" spans="1:11" ht="12.75">
      <c r="A67" s="24"/>
      <c r="B67" s="24"/>
      <c r="C67" s="24"/>
      <c r="D67" s="24"/>
      <c r="E67" s="24"/>
      <c r="F67" s="24"/>
      <c r="G67" s="24"/>
      <c r="H67" s="28"/>
      <c r="I67" s="22"/>
      <c r="J67" s="22"/>
      <c r="K67" s="29"/>
    </row>
    <row r="68" spans="1:11" ht="12.75">
      <c r="A68" s="113" t="s">
        <v>626</v>
      </c>
      <c r="B68" s="113"/>
      <c r="C68" s="113"/>
      <c r="D68" s="113"/>
      <c r="E68" s="113"/>
      <c r="F68" s="113"/>
      <c r="G68" s="113"/>
      <c r="H68" s="28">
        <f>1702*2/12</f>
        <v>283.6666666666667</v>
      </c>
      <c r="I68" s="22"/>
      <c r="J68" s="22"/>
      <c r="K68" s="29"/>
    </row>
    <row r="69" spans="1:11" ht="12.75">
      <c r="A69" s="24"/>
      <c r="B69" s="24"/>
      <c r="C69" s="24"/>
      <c r="D69" s="24"/>
      <c r="E69" s="24"/>
      <c r="F69" s="24"/>
      <c r="G69" s="24"/>
      <c r="H69" s="28"/>
      <c r="I69" s="22"/>
      <c r="J69" s="22"/>
      <c r="K69" s="29"/>
    </row>
    <row r="70" spans="1:11" ht="12.75">
      <c r="A70" s="113" t="s">
        <v>627</v>
      </c>
      <c r="B70" s="113"/>
      <c r="C70" s="113"/>
      <c r="D70" s="113"/>
      <c r="E70" s="113"/>
      <c r="F70" s="113"/>
      <c r="G70" s="113"/>
      <c r="H70" s="28">
        <f>49.37*2/2/12</f>
        <v>4.114166666666667</v>
      </c>
      <c r="I70" s="22"/>
      <c r="J70" s="22"/>
      <c r="K70" s="29"/>
    </row>
    <row r="71" spans="1:11" ht="12.75">
      <c r="A71" s="24" t="s">
        <v>340</v>
      </c>
      <c r="B71" s="24"/>
      <c r="C71" s="24"/>
      <c r="D71" s="24"/>
      <c r="E71" s="24"/>
      <c r="F71" s="24"/>
      <c r="G71" s="24"/>
      <c r="H71" s="28">
        <f>10000/85*2/12</f>
        <v>19.6078431372549</v>
      </c>
      <c r="I71" s="22"/>
      <c r="J71" s="22"/>
      <c r="K71" s="29"/>
    </row>
    <row r="72" spans="1:11" ht="12.75">
      <c r="A72" s="24"/>
      <c r="B72" s="24"/>
      <c r="C72" s="24"/>
      <c r="D72" s="24"/>
      <c r="E72" s="24"/>
      <c r="F72" s="24"/>
      <c r="G72" s="24"/>
      <c r="H72" s="28"/>
      <c r="I72" s="22"/>
      <c r="J72" s="22"/>
      <c r="K72" s="29"/>
    </row>
    <row r="73" spans="1:13" ht="15.75">
      <c r="A73" s="20" t="s">
        <v>111</v>
      </c>
      <c r="B73" s="20"/>
      <c r="C73" s="20"/>
      <c r="D73" s="20"/>
      <c r="E73" s="20"/>
      <c r="F73" s="20"/>
      <c r="G73" s="20"/>
      <c r="H73" s="27"/>
      <c r="I73" s="20"/>
      <c r="J73" s="20"/>
      <c r="K73" s="21">
        <f>H77+H79+H81+H83+H85+H87+H89</f>
        <v>14679.188414724824</v>
      </c>
      <c r="M73" s="71" t="e">
        <f>K73/309084*#REF!</f>
        <v>#REF!</v>
      </c>
    </row>
    <row r="74" spans="1:11" ht="12.75">
      <c r="A74" s="22"/>
      <c r="B74" s="22" t="s">
        <v>64</v>
      </c>
      <c r="C74" s="22"/>
      <c r="D74" s="22"/>
      <c r="E74" s="22"/>
      <c r="F74" s="22"/>
      <c r="G74" s="22"/>
      <c r="H74" s="28"/>
      <c r="I74" s="22"/>
      <c r="J74" s="22"/>
      <c r="K74" s="29"/>
    </row>
    <row r="75" spans="1:11" ht="12.75">
      <c r="A75" s="33" t="s">
        <v>112</v>
      </c>
      <c r="B75" s="33"/>
      <c r="C75" s="33"/>
      <c r="D75" s="33"/>
      <c r="E75" s="33"/>
      <c r="F75" s="33"/>
      <c r="G75" s="33"/>
      <c r="H75" s="34"/>
      <c r="I75" s="33"/>
      <c r="J75" s="33"/>
      <c r="K75" s="35"/>
    </row>
    <row r="76" spans="1:11" ht="12.75">
      <c r="A76" s="33"/>
      <c r="B76" s="33"/>
      <c r="C76" s="33"/>
      <c r="D76" s="33"/>
      <c r="E76" s="33"/>
      <c r="F76" s="33"/>
      <c r="G76" s="33"/>
      <c r="H76" s="34"/>
      <c r="I76" s="33"/>
      <c r="J76" s="33"/>
      <c r="K76" s="35"/>
    </row>
    <row r="77" spans="1:13" ht="12.75">
      <c r="A77" s="111" t="s">
        <v>628</v>
      </c>
      <c r="B77" s="111"/>
      <c r="C77" s="111"/>
      <c r="D77" s="111"/>
      <c r="E77" s="111"/>
      <c r="F77" s="111"/>
      <c r="G77" s="36"/>
      <c r="H77" s="37">
        <f>K321*24.48*165.6*1.5*1.07</f>
        <v>9249.36223636149</v>
      </c>
      <c r="I77" s="38"/>
      <c r="J77" s="38"/>
      <c r="K77" s="35"/>
      <c r="M77" s="69">
        <f>K321</f>
        <v>1.4215593807394216</v>
      </c>
    </row>
    <row r="78" spans="1:11" ht="12.75">
      <c r="A78" s="33" t="s">
        <v>114</v>
      </c>
      <c r="B78" s="33"/>
      <c r="C78" s="33"/>
      <c r="D78" s="33"/>
      <c r="E78" s="33"/>
      <c r="F78" s="33"/>
      <c r="G78" s="33"/>
      <c r="H78" s="34"/>
      <c r="I78" s="33"/>
      <c r="J78" s="33"/>
      <c r="K78" s="35"/>
    </row>
    <row r="79" spans="1:11" ht="12.75">
      <c r="A79" s="39">
        <f>H77</f>
        <v>9249.36223636149</v>
      </c>
      <c r="B79" s="36" t="s">
        <v>115</v>
      </c>
      <c r="C79" s="36"/>
      <c r="D79" s="36"/>
      <c r="E79" s="36"/>
      <c r="F79" s="36"/>
      <c r="G79" s="38"/>
      <c r="H79" s="37">
        <f>H77*14.2%</f>
        <v>1313.4094375633315</v>
      </c>
      <c r="I79" s="38"/>
      <c r="J79" s="38"/>
      <c r="K79" s="35"/>
    </row>
    <row r="80" spans="1:11" ht="12.75">
      <c r="A80" s="119"/>
      <c r="B80" s="119"/>
      <c r="C80" s="119"/>
      <c r="D80" s="119"/>
      <c r="E80" s="119"/>
      <c r="F80" s="40"/>
      <c r="G80" s="40"/>
      <c r="H80" s="37"/>
      <c r="I80" s="38"/>
      <c r="J80" s="38"/>
      <c r="K80" s="35"/>
    </row>
    <row r="81" spans="1:11" ht="12.75">
      <c r="A81" s="30" t="s">
        <v>86</v>
      </c>
      <c r="B81" s="30"/>
      <c r="C81" s="30"/>
      <c r="D81" s="30"/>
      <c r="E81" s="30"/>
      <c r="F81" s="40"/>
      <c r="G81" s="40"/>
      <c r="H81" s="37">
        <f>0.04*O17</f>
        <v>146.496</v>
      </c>
      <c r="I81" s="38"/>
      <c r="J81" s="38"/>
      <c r="K81" s="35"/>
    </row>
    <row r="82" spans="1:11" ht="12.75">
      <c r="A82" s="30"/>
      <c r="B82" s="30"/>
      <c r="C82" s="30"/>
      <c r="D82" s="30"/>
      <c r="E82" s="30"/>
      <c r="F82" s="40"/>
      <c r="G82" s="40"/>
      <c r="H82" s="37"/>
      <c r="I82" s="38"/>
      <c r="J82" s="38"/>
      <c r="K82" s="35"/>
    </row>
    <row r="83" spans="1:11" ht="12.75">
      <c r="A83" s="108" t="s">
        <v>629</v>
      </c>
      <c r="B83" s="108"/>
      <c r="C83" s="108"/>
      <c r="D83" s="108"/>
      <c r="E83" s="108"/>
      <c r="F83" s="108"/>
      <c r="G83" s="108"/>
      <c r="H83" s="37">
        <f>0.97*O17</f>
        <v>3552.528</v>
      </c>
      <c r="I83" s="38"/>
      <c r="J83" s="38"/>
      <c r="K83" s="35"/>
    </row>
    <row r="84" spans="1:11" ht="12.75">
      <c r="A84" s="30"/>
      <c r="B84" s="30"/>
      <c r="C84" s="30"/>
      <c r="D84" s="30"/>
      <c r="E84" s="30"/>
      <c r="F84" s="30"/>
      <c r="G84" s="30"/>
      <c r="H84" s="37"/>
      <c r="I84" s="38"/>
      <c r="J84" s="38"/>
      <c r="K84" s="35"/>
    </row>
    <row r="85" spans="1:11" ht="12.75">
      <c r="A85" s="108" t="s">
        <v>630</v>
      </c>
      <c r="B85" s="108"/>
      <c r="C85" s="108"/>
      <c r="D85" s="108"/>
      <c r="E85" s="108"/>
      <c r="F85" s="30"/>
      <c r="G85" s="30"/>
      <c r="H85" s="37">
        <f>0.0037*O17</f>
        <v>13.550880000000001</v>
      </c>
      <c r="I85" s="38"/>
      <c r="J85" s="38"/>
      <c r="K85" s="35"/>
    </row>
    <row r="86" spans="1:11" ht="12.75">
      <c r="A86" s="30"/>
      <c r="B86" s="30"/>
      <c r="C86" s="30"/>
      <c r="D86" s="30"/>
      <c r="E86" s="30"/>
      <c r="F86" s="30"/>
      <c r="G86" s="30"/>
      <c r="H86" s="37"/>
      <c r="I86" s="38"/>
      <c r="J86" s="38"/>
      <c r="K86" s="35"/>
    </row>
    <row r="87" spans="1:12" ht="12.75">
      <c r="A87" s="108" t="s">
        <v>631</v>
      </c>
      <c r="B87" s="108"/>
      <c r="C87" s="108"/>
      <c r="D87" s="108"/>
      <c r="E87" s="108"/>
      <c r="F87" s="108"/>
      <c r="G87" s="108"/>
      <c r="H87" s="37">
        <f>O17*0.082</f>
        <v>300.3168</v>
      </c>
      <c r="I87" s="38"/>
      <c r="J87" s="38"/>
      <c r="K87" s="35"/>
      <c r="L87" s="69"/>
    </row>
    <row r="88" spans="1:12" ht="12.75">
      <c r="A88" s="30"/>
      <c r="B88" s="30"/>
      <c r="C88" s="30"/>
      <c r="D88" s="30"/>
      <c r="E88" s="30"/>
      <c r="F88" s="30"/>
      <c r="G88" s="30"/>
      <c r="H88" s="37"/>
      <c r="I88" s="38"/>
      <c r="J88" s="38"/>
      <c r="K88" s="35"/>
      <c r="L88" s="69"/>
    </row>
    <row r="89" spans="1:13" ht="12.75">
      <c r="A89" s="108" t="s">
        <v>632</v>
      </c>
      <c r="B89" s="108"/>
      <c r="C89" s="108"/>
      <c r="D89" s="108"/>
      <c r="E89" s="108"/>
      <c r="F89" s="108"/>
      <c r="G89" s="108"/>
      <c r="H89" s="31">
        <f>O17*0.023*1.229</f>
        <v>103.52506080000002</v>
      </c>
      <c r="I89" s="33"/>
      <c r="J89" s="33"/>
      <c r="K89" s="35"/>
      <c r="M89" s="65" t="e">
        <f>36646.37/309083*#REF!</f>
        <v>#REF!</v>
      </c>
    </row>
    <row r="90" spans="1:11" ht="12.75">
      <c r="A90" s="30"/>
      <c r="B90" s="30"/>
      <c r="C90" s="30"/>
      <c r="D90" s="30"/>
      <c r="E90" s="30"/>
      <c r="F90" s="30"/>
      <c r="G90" s="30"/>
      <c r="H90" s="31"/>
      <c r="I90" s="33"/>
      <c r="J90" s="33"/>
      <c r="K90" s="35"/>
    </row>
    <row r="91" spans="1:13" ht="15.75">
      <c r="A91" s="110" t="s">
        <v>121</v>
      </c>
      <c r="B91" s="110"/>
      <c r="C91" s="110"/>
      <c r="D91" s="110"/>
      <c r="E91" s="42"/>
      <c r="F91" s="42"/>
      <c r="G91" s="20"/>
      <c r="H91" s="27"/>
      <c r="I91" s="20"/>
      <c r="J91" s="20"/>
      <c r="K91" s="21">
        <f>H94+H95+H97+H99</f>
        <v>2647.54896</v>
      </c>
      <c r="M91" s="72" t="e">
        <f>51932.37/301083*#REF!</f>
        <v>#REF!</v>
      </c>
    </row>
    <row r="92" spans="1:13" ht="15.75">
      <c r="A92" s="125"/>
      <c r="B92" s="125"/>
      <c r="C92" s="125"/>
      <c r="D92" s="125"/>
      <c r="E92" s="130"/>
      <c r="F92" s="130"/>
      <c r="G92" s="54"/>
      <c r="H92" s="131"/>
      <c r="I92" s="54"/>
      <c r="J92" s="54"/>
      <c r="K92" s="56"/>
      <c r="M92" s="72"/>
    </row>
    <row r="93" spans="1:11" ht="12.75">
      <c r="A93" s="111" t="s">
        <v>122</v>
      </c>
      <c r="B93" s="111"/>
      <c r="C93" s="111"/>
      <c r="D93" s="111"/>
      <c r="E93" s="111"/>
      <c r="F93" s="111"/>
      <c r="G93" s="36"/>
      <c r="H93" s="37"/>
      <c r="I93" s="36"/>
      <c r="J93" s="36"/>
      <c r="K93" s="35"/>
    </row>
    <row r="94" spans="1:11" ht="12.75">
      <c r="A94" s="36" t="s">
        <v>633</v>
      </c>
      <c r="B94" s="36"/>
      <c r="C94" s="36"/>
      <c r="D94" s="36"/>
      <c r="E94" s="36"/>
      <c r="F94" s="36"/>
      <c r="G94" s="36"/>
      <c r="H94" s="37">
        <f>0.2227*O17</f>
        <v>815.61648</v>
      </c>
      <c r="I94" s="36"/>
      <c r="J94" s="36"/>
      <c r="K94" s="35"/>
    </row>
    <row r="95" spans="1:11" ht="12.75">
      <c r="A95" s="30" t="s">
        <v>634</v>
      </c>
      <c r="B95" s="43"/>
      <c r="C95" s="30"/>
      <c r="D95" s="30"/>
      <c r="E95" s="44"/>
      <c r="F95" s="38"/>
      <c r="G95" s="38"/>
      <c r="H95" s="37">
        <f>0.0257*O17</f>
        <v>94.12368000000001</v>
      </c>
      <c r="I95" s="38"/>
      <c r="J95" s="38"/>
      <c r="K95" s="35"/>
    </row>
    <row r="96" spans="1:11" ht="12.75">
      <c r="A96" s="30"/>
      <c r="B96" s="43"/>
      <c r="C96" s="30"/>
      <c r="D96" s="30"/>
      <c r="E96" s="44"/>
      <c r="F96" s="38"/>
      <c r="G96" s="38"/>
      <c r="H96" s="37"/>
      <c r="I96" s="38"/>
      <c r="J96" s="38"/>
      <c r="K96" s="35"/>
    </row>
    <row r="97" spans="1:11" ht="12.75">
      <c r="A97" s="111" t="s">
        <v>635</v>
      </c>
      <c r="B97" s="111"/>
      <c r="C97" s="111"/>
      <c r="D97" s="111"/>
      <c r="E97" s="111"/>
      <c r="F97" s="38"/>
      <c r="G97" s="38"/>
      <c r="H97" s="37">
        <f>0.0945*O17</f>
        <v>346.09680000000003</v>
      </c>
      <c r="I97" s="38"/>
      <c r="J97" s="38"/>
      <c r="K97" s="35"/>
    </row>
    <row r="98" spans="1:11" ht="12.75">
      <c r="A98" s="36"/>
      <c r="B98" s="36"/>
      <c r="C98" s="36"/>
      <c r="D98" s="36"/>
      <c r="E98" s="36"/>
      <c r="F98" s="38"/>
      <c r="G98" s="38"/>
      <c r="H98" s="37"/>
      <c r="I98" s="38"/>
      <c r="J98" s="38"/>
      <c r="K98" s="35"/>
    </row>
    <row r="99" spans="1:11" ht="12.75">
      <c r="A99" s="36" t="s">
        <v>636</v>
      </c>
      <c r="B99" s="36"/>
      <c r="C99" s="36"/>
      <c r="D99" s="36"/>
      <c r="E99" s="36"/>
      <c r="F99" s="38"/>
      <c r="G99" s="38"/>
      <c r="H99" s="37">
        <f>0.38*O17</f>
        <v>1391.712</v>
      </c>
      <c r="I99" s="38"/>
      <c r="J99" s="38"/>
      <c r="K99" s="45"/>
    </row>
    <row r="100" spans="1:11" ht="12.75">
      <c r="A100" s="30"/>
      <c r="B100" s="30"/>
      <c r="C100" s="30"/>
      <c r="D100" s="30"/>
      <c r="E100" s="30"/>
      <c r="F100" s="30"/>
      <c r="G100" s="30"/>
      <c r="H100" s="37"/>
      <c r="I100" s="38"/>
      <c r="J100" s="38"/>
      <c r="K100" s="35"/>
    </row>
    <row r="101" spans="1:13" ht="15.75">
      <c r="A101" s="26" t="s">
        <v>127</v>
      </c>
      <c r="B101" s="26"/>
      <c r="C101" s="26"/>
      <c r="D101" s="26"/>
      <c r="E101" s="26"/>
      <c r="F101" s="26"/>
      <c r="G101" s="26"/>
      <c r="H101" s="46"/>
      <c r="I101" s="20"/>
      <c r="J101" s="20"/>
      <c r="K101" s="21">
        <f>O17*0.94</f>
        <v>3442.656</v>
      </c>
      <c r="M101" s="71" t="e">
        <f>231179.9/309083*#REF!</f>
        <v>#REF!</v>
      </c>
    </row>
    <row r="102" spans="1:11" ht="15.75">
      <c r="A102" s="47"/>
      <c r="B102" s="47"/>
      <c r="C102" s="112" t="s">
        <v>64</v>
      </c>
      <c r="D102" s="112"/>
      <c r="E102" s="47"/>
      <c r="F102" s="47"/>
      <c r="G102" s="47"/>
      <c r="H102" s="48"/>
      <c r="I102" s="47"/>
      <c r="J102" s="47"/>
      <c r="K102" s="49"/>
    </row>
    <row r="103" spans="1:11" ht="12.75">
      <c r="A103" s="30" t="s">
        <v>128</v>
      </c>
      <c r="B103" s="30"/>
      <c r="C103" s="30"/>
      <c r="D103" s="30"/>
      <c r="E103" s="30"/>
      <c r="F103" s="30"/>
      <c r="G103" s="30"/>
      <c r="H103" s="37"/>
      <c r="I103" s="38"/>
      <c r="J103" s="38"/>
      <c r="K103" s="35"/>
    </row>
    <row r="104" spans="1:11" ht="12.75">
      <c r="A104" s="30"/>
      <c r="B104" s="30"/>
      <c r="C104" s="30"/>
      <c r="D104" s="30"/>
      <c r="E104" s="30"/>
      <c r="F104" s="30"/>
      <c r="G104" s="30"/>
      <c r="H104" s="37"/>
      <c r="I104" s="38"/>
      <c r="J104" s="38"/>
      <c r="K104" s="35"/>
    </row>
    <row r="105" spans="1:11" ht="12.75">
      <c r="A105" s="30" t="s">
        <v>129</v>
      </c>
      <c r="B105" s="43"/>
      <c r="C105" s="30"/>
      <c r="D105" s="30"/>
      <c r="E105" s="30"/>
      <c r="F105" s="44"/>
      <c r="G105" s="44"/>
      <c r="H105" s="37"/>
      <c r="I105" s="38"/>
      <c r="J105" s="38"/>
      <c r="K105" s="35"/>
    </row>
    <row r="106" spans="1:11" ht="12.75">
      <c r="A106" s="108" t="s">
        <v>130</v>
      </c>
      <c r="B106" s="108"/>
      <c r="C106" s="108"/>
      <c r="D106" s="108"/>
      <c r="E106" s="108"/>
      <c r="F106" s="108"/>
      <c r="G106" s="44"/>
      <c r="H106" s="37"/>
      <c r="I106" s="38"/>
      <c r="J106" s="38"/>
      <c r="K106" s="35"/>
    </row>
    <row r="107" spans="1:11" ht="12.75">
      <c r="A107" s="30"/>
      <c r="B107" s="30"/>
      <c r="C107" s="30"/>
      <c r="D107" s="30"/>
      <c r="E107" s="30"/>
      <c r="F107" s="30"/>
      <c r="G107" s="44"/>
      <c r="H107" s="37"/>
      <c r="I107" s="38"/>
      <c r="J107" s="38"/>
      <c r="K107" s="35"/>
    </row>
    <row r="108" spans="1:11" ht="12.75">
      <c r="A108" s="108" t="s">
        <v>131</v>
      </c>
      <c r="B108" s="108"/>
      <c r="C108" s="108"/>
      <c r="D108" s="108"/>
      <c r="E108" s="108"/>
      <c r="F108" s="108"/>
      <c r="G108" s="108"/>
      <c r="H108" s="37"/>
      <c r="I108" s="38"/>
      <c r="J108" s="38"/>
      <c r="K108" s="35"/>
    </row>
    <row r="109" spans="1:11" ht="12.75">
      <c r="A109" s="30"/>
      <c r="B109" s="30"/>
      <c r="C109" s="30"/>
      <c r="D109" s="30"/>
      <c r="E109" s="30"/>
      <c r="F109" s="30"/>
      <c r="G109" s="30"/>
      <c r="H109" s="37"/>
      <c r="I109" s="38"/>
      <c r="J109" s="38"/>
      <c r="K109" s="35"/>
    </row>
    <row r="110" spans="1:11" ht="12.75">
      <c r="A110" s="108" t="s">
        <v>132</v>
      </c>
      <c r="B110" s="108"/>
      <c r="C110" s="108"/>
      <c r="D110" s="108"/>
      <c r="E110" s="109"/>
      <c r="F110" s="109"/>
      <c r="G110" s="109"/>
      <c r="H110" s="37"/>
      <c r="I110" s="38"/>
      <c r="J110" s="38"/>
      <c r="K110" s="35"/>
    </row>
    <row r="111" spans="1:11" ht="12.75">
      <c r="A111" s="30"/>
      <c r="B111" s="30"/>
      <c r="C111" s="30"/>
      <c r="D111" s="30"/>
      <c r="E111" s="50"/>
      <c r="F111" s="50"/>
      <c r="G111" s="50"/>
      <c r="H111" s="37"/>
      <c r="I111" s="38"/>
      <c r="J111" s="38"/>
      <c r="K111" s="35"/>
    </row>
    <row r="112" spans="1:11" ht="12.75">
      <c r="A112" s="108" t="s">
        <v>133</v>
      </c>
      <c r="B112" s="108"/>
      <c r="C112" s="108"/>
      <c r="D112" s="108"/>
      <c r="E112" s="108"/>
      <c r="F112" s="44"/>
      <c r="G112" s="44"/>
      <c r="H112" s="37"/>
      <c r="I112" s="38"/>
      <c r="J112" s="38"/>
      <c r="K112" s="35"/>
    </row>
    <row r="113" spans="1:11" ht="12.75">
      <c r="A113" s="30"/>
      <c r="B113" s="30"/>
      <c r="C113" s="30"/>
      <c r="D113" s="30"/>
      <c r="E113" s="30"/>
      <c r="F113" s="44"/>
      <c r="G113" s="44"/>
      <c r="H113" s="37"/>
      <c r="I113" s="38"/>
      <c r="J113" s="38"/>
      <c r="K113" s="35"/>
    </row>
    <row r="114" spans="1:14" ht="12.75">
      <c r="A114" s="44" t="s">
        <v>134</v>
      </c>
      <c r="B114" s="44"/>
      <c r="C114" s="44"/>
      <c r="D114" s="44"/>
      <c r="E114" s="44"/>
      <c r="F114" s="44"/>
      <c r="G114" s="44"/>
      <c r="H114" s="37"/>
      <c r="I114" s="38"/>
      <c r="J114" s="38"/>
      <c r="K114" s="35"/>
      <c r="N114" s="69">
        <f>K19+K34+K62+K73+K91+K101</f>
        <v>49533.36196446042</v>
      </c>
    </row>
    <row r="115" spans="1:14" ht="12.75">
      <c r="A115" s="22"/>
      <c r="B115" s="22"/>
      <c r="C115" s="22"/>
      <c r="D115" s="22"/>
      <c r="E115" s="22"/>
      <c r="F115" s="22"/>
      <c r="G115" s="22"/>
      <c r="H115" s="28"/>
      <c r="I115" s="22"/>
      <c r="J115" s="22"/>
      <c r="K115" s="29"/>
      <c r="N115" s="65">
        <f>E14</f>
        <v>42598.75224</v>
      </c>
    </row>
    <row r="116" spans="1:14" ht="15.75">
      <c r="A116" s="20" t="s">
        <v>135</v>
      </c>
      <c r="B116" s="20"/>
      <c r="C116" s="20"/>
      <c r="D116" s="20"/>
      <c r="E116" s="20"/>
      <c r="F116" s="51"/>
      <c r="G116" s="51"/>
      <c r="H116" s="52"/>
      <c r="I116" s="51"/>
      <c r="J116" s="51"/>
      <c r="K116" s="21">
        <f>0.0205*O17</f>
        <v>75.0792</v>
      </c>
      <c r="L116" s="72" t="e">
        <f>E14-(K19+K34+K62+K73+K91+#REF!+#REF!+K101)</f>
        <v>#REF!</v>
      </c>
      <c r="M116" s="72"/>
      <c r="N116" s="65">
        <f>(N115-N114)*0.15</f>
        <v>-1040.1914586690625</v>
      </c>
    </row>
    <row r="117" spans="1:13" ht="15.75">
      <c r="A117" s="54"/>
      <c r="B117" s="54"/>
      <c r="C117" s="54"/>
      <c r="D117" s="54"/>
      <c r="E117" s="54"/>
      <c r="F117" s="53"/>
      <c r="G117" s="53"/>
      <c r="H117" s="55"/>
      <c r="I117" s="53"/>
      <c r="J117" s="53"/>
      <c r="K117" s="56"/>
      <c r="L117" s="72"/>
      <c r="M117" s="72"/>
    </row>
    <row r="118" spans="1:11" ht="15.75">
      <c r="A118" s="57" t="s">
        <v>637</v>
      </c>
      <c r="B118" s="57"/>
      <c r="C118" s="57"/>
      <c r="D118" s="58"/>
      <c r="E118" s="58"/>
      <c r="F118" s="58"/>
      <c r="G118" s="58"/>
      <c r="H118" s="59"/>
      <c r="I118" s="58"/>
      <c r="J118" s="58"/>
      <c r="K118" s="60">
        <f>K16*6%</f>
        <v>2967.496965867625</v>
      </c>
    </row>
    <row r="119" spans="1:11" ht="15.75">
      <c r="A119" s="63" t="s">
        <v>137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4">
        <f>K118+K16</f>
        <v>52425.779730328046</v>
      </c>
    </row>
    <row r="120" spans="1:11" ht="15.75">
      <c r="A120" s="63" t="s">
        <v>138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4">
        <f>K119/O17</f>
        <v>14.314596911950646</v>
      </c>
    </row>
    <row r="121" spans="1:11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4"/>
    </row>
    <row r="122" spans="1:1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4"/>
    </row>
    <row r="133" spans="3:9" s="65" customFormat="1" ht="15.75">
      <c r="C133" s="106" t="s">
        <v>139</v>
      </c>
      <c r="D133" s="107"/>
      <c r="E133" s="107"/>
      <c r="F133" s="107"/>
      <c r="G133" s="107"/>
      <c r="H133" s="107"/>
      <c r="I133" s="107"/>
    </row>
    <row r="134" spans="3:9" s="65" customFormat="1" ht="15.75">
      <c r="C134" s="74" t="s">
        <v>140</v>
      </c>
      <c r="D134" s="74" t="s">
        <v>141</v>
      </c>
      <c r="E134" s="74"/>
      <c r="F134" s="74"/>
      <c r="G134" s="75"/>
      <c r="H134" s="75"/>
      <c r="I134" s="75"/>
    </row>
    <row r="135" s="65" customFormat="1" ht="12.75"/>
    <row r="136" s="65" customFormat="1" ht="12.75">
      <c r="E136" s="65" t="s">
        <v>142</v>
      </c>
    </row>
    <row r="137" spans="5:8" s="65" customFormat="1" ht="12.75">
      <c r="E137" s="65" t="s">
        <v>143</v>
      </c>
      <c r="H137" s="65">
        <v>1200</v>
      </c>
    </row>
    <row r="138" spans="5:8" s="65" customFormat="1" ht="12.75">
      <c r="E138" s="65" t="s">
        <v>144</v>
      </c>
      <c r="H138" s="65">
        <v>1324</v>
      </c>
    </row>
    <row r="139" spans="5:8" s="65" customFormat="1" ht="12.75">
      <c r="E139" s="65" t="s">
        <v>145</v>
      </c>
      <c r="H139" s="65">
        <v>332</v>
      </c>
    </row>
    <row r="140" spans="5:8" s="65" customFormat="1" ht="12.75">
      <c r="E140" s="65" t="s">
        <v>146</v>
      </c>
      <c r="H140" s="65">
        <v>5351.8</v>
      </c>
    </row>
    <row r="141" s="65" customFormat="1" ht="12.75"/>
    <row r="142" spans="1:11" s="65" customFormat="1" ht="15.75">
      <c r="A142" s="105" t="s">
        <v>72</v>
      </c>
      <c r="B142" s="105"/>
      <c r="C142" s="105"/>
      <c r="D142" s="105"/>
      <c r="E142" s="105"/>
      <c r="F142" s="105"/>
      <c r="G142" s="105"/>
      <c r="H142" s="76" t="e">
        <f>H144+H146+H148+H150+H152+H154+H156</f>
        <v>#REF!</v>
      </c>
      <c r="I142" s="77" t="s">
        <v>70</v>
      </c>
      <c r="K142" s="78" t="e">
        <f>H142-20000</f>
        <v>#REF!</v>
      </c>
    </row>
    <row r="143" spans="1:7" s="65" customFormat="1" ht="12.75">
      <c r="A143" s="79"/>
      <c r="B143" s="79"/>
      <c r="C143" s="79"/>
      <c r="D143" s="79"/>
      <c r="E143" s="79"/>
      <c r="F143" s="79"/>
      <c r="G143" s="79"/>
    </row>
    <row r="144" spans="1:8" s="65" customFormat="1" ht="15.75">
      <c r="A144" s="80" t="s">
        <v>147</v>
      </c>
      <c r="B144" s="80"/>
      <c r="C144" s="80"/>
      <c r="D144" s="80"/>
      <c r="E144" s="80"/>
      <c r="F144" s="80"/>
      <c r="G144" s="80"/>
      <c r="H144" s="78">
        <f>K19</f>
        <v>8511.677783265</v>
      </c>
    </row>
    <row r="145" spans="1:8" s="65" customFormat="1" ht="12.75">
      <c r="A145" s="79"/>
      <c r="B145" s="79"/>
      <c r="C145" s="79"/>
      <c r="D145" s="79"/>
      <c r="E145" s="79"/>
      <c r="F145" s="79"/>
      <c r="G145" s="79"/>
      <c r="H145" s="78"/>
    </row>
    <row r="146" spans="1:8" s="65" customFormat="1" ht="15.75">
      <c r="A146" s="105" t="s">
        <v>95</v>
      </c>
      <c r="B146" s="105"/>
      <c r="C146" s="105"/>
      <c r="D146" s="105"/>
      <c r="E146" s="105"/>
      <c r="F146" s="80"/>
      <c r="G146" s="80"/>
      <c r="H146" s="78">
        <f>K34</f>
        <v>12097.73413</v>
      </c>
    </row>
    <row r="147" spans="1:8" s="65" customFormat="1" ht="12.75">
      <c r="A147" s="79"/>
      <c r="B147" s="79"/>
      <c r="C147" s="79"/>
      <c r="D147" s="79"/>
      <c r="E147" s="79"/>
      <c r="F147" s="79"/>
      <c r="G147" s="79"/>
      <c r="H147" s="78"/>
    </row>
    <row r="148" spans="1:8" s="65" customFormat="1" ht="15.75">
      <c r="A148" s="105" t="s">
        <v>148</v>
      </c>
      <c r="B148" s="105"/>
      <c r="C148" s="105"/>
      <c r="D148" s="105"/>
      <c r="E148" s="105"/>
      <c r="F148" s="105"/>
      <c r="G148" s="105"/>
      <c r="H148" s="81" t="e">
        <f>#REF!</f>
        <v>#REF!</v>
      </c>
    </row>
    <row r="149" spans="1:8" s="65" customFormat="1" ht="12.75">
      <c r="A149" s="79"/>
      <c r="B149" s="79"/>
      <c r="C149" s="79"/>
      <c r="D149" s="79"/>
      <c r="E149" s="79"/>
      <c r="F149" s="79"/>
      <c r="G149" s="79"/>
      <c r="H149" s="82"/>
    </row>
    <row r="150" spans="1:8" s="65" customFormat="1" ht="15.75">
      <c r="A150" s="80" t="s">
        <v>111</v>
      </c>
      <c r="B150" s="80"/>
      <c r="C150" s="80"/>
      <c r="D150" s="80"/>
      <c r="E150" s="80"/>
      <c r="F150" s="80"/>
      <c r="G150" s="80"/>
      <c r="H150" s="82" t="e">
        <f>M73</f>
        <v>#REF!</v>
      </c>
    </row>
    <row r="151" spans="1:8" s="65" customFormat="1" ht="12.75">
      <c r="A151" s="79"/>
      <c r="B151" s="79"/>
      <c r="C151" s="79"/>
      <c r="D151" s="79"/>
      <c r="E151" s="79"/>
      <c r="F151" s="79"/>
      <c r="G151" s="79"/>
      <c r="H151" s="82"/>
    </row>
    <row r="152" spans="1:8" s="65" customFormat="1" ht="15.75">
      <c r="A152" s="105" t="s">
        <v>149</v>
      </c>
      <c r="B152" s="105"/>
      <c r="C152" s="105"/>
      <c r="D152" s="105"/>
      <c r="E152" s="80"/>
      <c r="F152" s="80"/>
      <c r="G152" s="80"/>
      <c r="H152" s="81" t="e">
        <f>M91</f>
        <v>#REF!</v>
      </c>
    </row>
    <row r="153" spans="1:8" s="65" customFormat="1" ht="12.75">
      <c r="A153" s="79"/>
      <c r="B153" s="79"/>
      <c r="C153" s="79"/>
      <c r="D153" s="79"/>
      <c r="E153" s="79"/>
      <c r="F153" s="79"/>
      <c r="G153" s="79"/>
      <c r="H153" s="82"/>
    </row>
    <row r="154" spans="1:8" s="65" customFormat="1" ht="15.75">
      <c r="A154" s="83" t="s">
        <v>127</v>
      </c>
      <c r="B154" s="83"/>
      <c r="C154" s="83"/>
      <c r="D154" s="83"/>
      <c r="E154" s="83"/>
      <c r="F154" s="83"/>
      <c r="G154" s="83"/>
      <c r="H154" s="81" t="e">
        <f>M101</f>
        <v>#REF!</v>
      </c>
    </row>
    <row r="155" spans="1:8" s="65" customFormat="1" ht="12.75">
      <c r="A155" s="79"/>
      <c r="B155" s="79"/>
      <c r="C155" s="79"/>
      <c r="D155" s="79"/>
      <c r="E155" s="79"/>
      <c r="F155" s="79"/>
      <c r="G155" s="79"/>
      <c r="H155" s="82"/>
    </row>
    <row r="156" spans="1:8" s="65" customFormat="1" ht="15.75">
      <c r="A156" s="80" t="s">
        <v>150</v>
      </c>
      <c r="B156" s="80"/>
      <c r="C156" s="80"/>
      <c r="D156" s="80"/>
      <c r="E156" s="80"/>
      <c r="F156" s="84"/>
      <c r="G156" s="84"/>
      <c r="H156" s="81" t="e">
        <f>L116</f>
        <v>#REF!</v>
      </c>
    </row>
    <row r="157" s="65" customFormat="1" ht="12.75"/>
    <row r="158" s="65" customFormat="1" ht="12.75"/>
    <row r="159" s="65" customFormat="1" ht="12.75">
      <c r="H159" s="65" t="s">
        <v>151</v>
      </c>
    </row>
    <row r="160" s="65" customFormat="1" ht="12.75">
      <c r="H160" s="65" t="s">
        <v>146</v>
      </c>
    </row>
    <row r="161" s="65" customFormat="1" ht="12.75">
      <c r="H161" s="65" t="s">
        <v>152</v>
      </c>
    </row>
    <row r="162" s="65" customFormat="1" ht="12.75"/>
    <row r="163" s="65" customFormat="1" ht="12.75"/>
    <row r="164" s="65" customFormat="1" ht="12.75">
      <c r="F164" s="65" t="s">
        <v>153</v>
      </c>
    </row>
    <row r="165" s="65" customFormat="1" ht="12.75">
      <c r="D165" s="65" t="s">
        <v>154</v>
      </c>
    </row>
    <row r="166" s="65" customFormat="1" ht="12.75">
      <c r="D166" s="65" t="s">
        <v>155</v>
      </c>
    </row>
    <row r="167" spans="6:13" s="65" customFormat="1" ht="12.75">
      <c r="F167" s="65" t="s">
        <v>156</v>
      </c>
      <c r="M167" s="65" t="s">
        <v>157</v>
      </c>
    </row>
    <row r="168" s="65" customFormat="1" ht="12.75">
      <c r="M168" s="65" t="s">
        <v>158</v>
      </c>
    </row>
    <row r="169" spans="1:13" s="65" customFormat="1" ht="12.75">
      <c r="A169" s="65" t="s">
        <v>159</v>
      </c>
      <c r="B169" s="65" t="s">
        <v>160</v>
      </c>
      <c r="D169" s="65" t="s">
        <v>161</v>
      </c>
      <c r="F169" s="65" t="s">
        <v>162</v>
      </c>
      <c r="G169" s="65" t="s">
        <v>163</v>
      </c>
      <c r="H169" s="65" t="s">
        <v>164</v>
      </c>
      <c r="J169" s="65" t="s">
        <v>165</v>
      </c>
      <c r="M169" s="73" t="s">
        <v>166</v>
      </c>
    </row>
    <row r="170" spans="1:13" s="65" customFormat="1" ht="12.75">
      <c r="A170" s="65" t="s">
        <v>167</v>
      </c>
      <c r="B170" s="65" t="s">
        <v>168</v>
      </c>
      <c r="D170" s="65" t="s">
        <v>169</v>
      </c>
      <c r="F170" s="65" t="s">
        <v>170</v>
      </c>
      <c r="G170" s="65" t="s">
        <v>171</v>
      </c>
      <c r="H170" s="65" t="s">
        <v>172</v>
      </c>
      <c r="J170" s="65" t="s">
        <v>173</v>
      </c>
      <c r="M170" s="65" t="s">
        <v>174</v>
      </c>
    </row>
    <row r="171" spans="8:9" s="65" customFormat="1" ht="12.75">
      <c r="H171" s="65" t="s">
        <v>175</v>
      </c>
      <c r="I171" s="65" t="s">
        <v>176</v>
      </c>
    </row>
    <row r="172" spans="8:13" s="65" customFormat="1" ht="12.75">
      <c r="H172" s="65" t="s">
        <v>170</v>
      </c>
      <c r="I172" s="65" t="s">
        <v>177</v>
      </c>
      <c r="M172" s="65" t="s">
        <v>178</v>
      </c>
    </row>
    <row r="173" spans="9:13" s="65" customFormat="1" ht="12.75">
      <c r="I173" s="65" t="s">
        <v>179</v>
      </c>
      <c r="M173" s="65" t="s">
        <v>158</v>
      </c>
    </row>
    <row r="174" s="65" customFormat="1" ht="12.75">
      <c r="M174" s="73" t="s">
        <v>166</v>
      </c>
    </row>
    <row r="175" spans="1:14" s="65" customFormat="1" ht="12.75">
      <c r="A175" s="65" t="s">
        <v>180</v>
      </c>
      <c r="B175" s="65" t="s">
        <v>181</v>
      </c>
      <c r="D175" s="65" t="s">
        <v>182</v>
      </c>
      <c r="M175" s="65" t="s">
        <v>174</v>
      </c>
      <c r="N175" s="65">
        <v>480</v>
      </c>
    </row>
    <row r="176" spans="2:4" s="65" customFormat="1" ht="12.75">
      <c r="B176" s="65" t="s">
        <v>183</v>
      </c>
      <c r="D176" s="65" t="s">
        <v>184</v>
      </c>
    </row>
    <row r="177" spans="2:13" s="65" customFormat="1" ht="12.75">
      <c r="B177" s="65" t="s">
        <v>185</v>
      </c>
      <c r="D177" s="65" t="s">
        <v>186</v>
      </c>
      <c r="M177" s="65" t="s">
        <v>187</v>
      </c>
    </row>
    <row r="178" spans="2:13" s="65" customFormat="1" ht="12.75">
      <c r="B178" s="65" t="s">
        <v>188</v>
      </c>
      <c r="D178" s="65" t="s">
        <v>189</v>
      </c>
      <c r="M178" s="65" t="s">
        <v>158</v>
      </c>
    </row>
    <row r="179" spans="2:13" s="65" customFormat="1" ht="12.75">
      <c r="B179" s="65" t="s">
        <v>190</v>
      </c>
      <c r="M179" s="73" t="s">
        <v>166</v>
      </c>
    </row>
    <row r="180" spans="4:14" s="65" customFormat="1" ht="12.75">
      <c r="D180" s="65" t="s">
        <v>191</v>
      </c>
      <c r="M180" s="65" t="s">
        <v>174</v>
      </c>
      <c r="N180" s="65">
        <v>816</v>
      </c>
    </row>
    <row r="181" spans="4:6" s="65" customFormat="1" ht="12.75">
      <c r="D181" s="65" t="s">
        <v>192</v>
      </c>
      <c r="F181" s="65" t="s">
        <v>193</v>
      </c>
    </row>
    <row r="182" spans="4:13" s="65" customFormat="1" ht="12.75">
      <c r="D182" s="65" t="s">
        <v>158</v>
      </c>
      <c r="F182" s="65" t="s">
        <v>194</v>
      </c>
      <c r="H182" s="65">
        <v>0.0687</v>
      </c>
      <c r="I182" s="65">
        <v>0</v>
      </c>
      <c r="K182" s="65">
        <f>N173/1000*H182</f>
        <v>0</v>
      </c>
      <c r="M182" s="65" t="s">
        <v>195</v>
      </c>
    </row>
    <row r="183" spans="4:13" s="65" customFormat="1" ht="12.75">
      <c r="D183" s="65" t="s">
        <v>196</v>
      </c>
      <c r="F183" s="65" t="s">
        <v>197</v>
      </c>
      <c r="H183" s="65">
        <v>0.0763</v>
      </c>
      <c r="I183" s="65">
        <v>0</v>
      </c>
      <c r="K183" s="65">
        <f>N174/1000*H183</f>
        <v>0</v>
      </c>
      <c r="M183" s="65" t="s">
        <v>158</v>
      </c>
    </row>
    <row r="184" spans="4:13" s="65" customFormat="1" ht="12.75">
      <c r="D184" s="65" t="s">
        <v>198</v>
      </c>
      <c r="F184" s="65" t="s">
        <v>199</v>
      </c>
      <c r="H184" s="65">
        <v>0.0839</v>
      </c>
      <c r="I184" s="65">
        <v>0</v>
      </c>
      <c r="K184" s="69">
        <f>N175/1000*H184</f>
        <v>0.040272</v>
      </c>
      <c r="M184" s="73" t="s">
        <v>166</v>
      </c>
    </row>
    <row r="185" spans="6:14" s="65" customFormat="1" ht="12.75">
      <c r="F185" s="65" t="s">
        <v>200</v>
      </c>
      <c r="M185" s="65" t="s">
        <v>174</v>
      </c>
      <c r="N185" s="65">
        <v>4321</v>
      </c>
    </row>
    <row r="186" s="65" customFormat="1" ht="12.75">
      <c r="F186" s="65" t="s">
        <v>190</v>
      </c>
    </row>
    <row r="187" spans="5:9" s="65" customFormat="1" ht="12.75">
      <c r="E187" s="65" t="s">
        <v>201</v>
      </c>
      <c r="I187" s="65">
        <v>0</v>
      </c>
    </row>
    <row r="188" spans="2:4" s="65" customFormat="1" ht="12.75">
      <c r="B188" s="65" t="s">
        <v>202</v>
      </c>
      <c r="D188" s="65" t="s">
        <v>203</v>
      </c>
    </row>
    <row r="189" s="65" customFormat="1" ht="12.75">
      <c r="D189" s="65" t="s">
        <v>204</v>
      </c>
    </row>
    <row r="190" s="65" customFormat="1" ht="12.75">
      <c r="D190" s="65" t="s">
        <v>205</v>
      </c>
    </row>
    <row r="191" s="65" customFormat="1" ht="12.75">
      <c r="D191" s="65" t="s">
        <v>191</v>
      </c>
    </row>
    <row r="192" spans="4:11" s="65" customFormat="1" ht="12.75">
      <c r="D192" s="65" t="s">
        <v>158</v>
      </c>
      <c r="H192" s="65">
        <v>0.00338</v>
      </c>
      <c r="K192" s="69">
        <f>N196/1000*H192</f>
        <v>0</v>
      </c>
    </row>
    <row r="193" spans="4:11" s="65" customFormat="1" ht="12.75">
      <c r="D193" s="65" t="s">
        <v>196</v>
      </c>
      <c r="H193" s="65">
        <v>0.00376</v>
      </c>
      <c r="K193" s="69">
        <f>N197/1000*H193</f>
        <v>0</v>
      </c>
    </row>
    <row r="194" spans="4:11" s="65" customFormat="1" ht="12.75">
      <c r="D194" s="65" t="s">
        <v>198</v>
      </c>
      <c r="H194" s="65">
        <v>0.00414</v>
      </c>
      <c r="K194" s="69">
        <f>N198/1000*H194</f>
        <v>0.017888939999999996</v>
      </c>
    </row>
    <row r="195" s="65" customFormat="1" ht="12.75">
      <c r="M195" s="65" t="s">
        <v>206</v>
      </c>
    </row>
    <row r="196" spans="1:13" s="65" customFormat="1" ht="12.75">
      <c r="A196" s="65" t="s">
        <v>207</v>
      </c>
      <c r="B196" s="65" t="s">
        <v>208</v>
      </c>
      <c r="D196" s="65" t="s">
        <v>203</v>
      </c>
      <c r="M196" s="65" t="s">
        <v>158</v>
      </c>
    </row>
    <row r="197" spans="4:13" s="65" customFormat="1" ht="12.75">
      <c r="D197" s="65" t="s">
        <v>209</v>
      </c>
      <c r="M197" s="73" t="s">
        <v>166</v>
      </c>
    </row>
    <row r="198" spans="4:14" s="65" customFormat="1" ht="12.75">
      <c r="D198" s="65" t="s">
        <v>191</v>
      </c>
      <c r="M198" s="65" t="s">
        <v>174</v>
      </c>
      <c r="N198" s="65">
        <v>4321</v>
      </c>
    </row>
    <row r="199" spans="4:11" s="65" customFormat="1" ht="12.75">
      <c r="D199" s="65" t="s">
        <v>158</v>
      </c>
      <c r="H199" s="65">
        <v>0.02043</v>
      </c>
      <c r="I199" s="65">
        <v>0</v>
      </c>
      <c r="K199" s="65">
        <f>N183/1000*H199</f>
        <v>0</v>
      </c>
    </row>
    <row r="200" spans="4:13" s="65" customFormat="1" ht="12.75">
      <c r="D200" s="65" t="s">
        <v>196</v>
      </c>
      <c r="H200" s="65">
        <v>0.0227</v>
      </c>
      <c r="I200" s="65">
        <v>0</v>
      </c>
      <c r="K200" s="65">
        <f>N184/1000*H200</f>
        <v>0</v>
      </c>
      <c r="M200" s="65" t="s">
        <v>210</v>
      </c>
    </row>
    <row r="201" spans="4:13" s="65" customFormat="1" ht="12.75">
      <c r="D201" s="65" t="s">
        <v>198</v>
      </c>
      <c r="H201" s="65">
        <v>0.02497</v>
      </c>
      <c r="I201" s="65">
        <v>0</v>
      </c>
      <c r="K201" s="69">
        <f>N185/1000*H201</f>
        <v>0.10789536999999999</v>
      </c>
      <c r="M201" s="65" t="s">
        <v>158</v>
      </c>
    </row>
    <row r="202" spans="4:13" s="65" customFormat="1" ht="12.75">
      <c r="D202" s="65" t="s">
        <v>211</v>
      </c>
      <c r="M202" s="73" t="s">
        <v>166</v>
      </c>
    </row>
    <row r="203" spans="4:14" s="65" customFormat="1" ht="12.75">
      <c r="D203" s="65" t="s">
        <v>191</v>
      </c>
      <c r="M203" s="65" t="s">
        <v>174</v>
      </c>
      <c r="N203" s="65">
        <v>82</v>
      </c>
    </row>
    <row r="204" spans="4:6" s="65" customFormat="1" ht="12.75">
      <c r="D204" s="65" t="s">
        <v>192</v>
      </c>
      <c r="F204" s="65" t="s">
        <v>193</v>
      </c>
    </row>
    <row r="205" spans="4:11" s="65" customFormat="1" ht="12.75">
      <c r="D205" s="65" t="s">
        <v>158</v>
      </c>
      <c r="H205" s="65">
        <v>0.00999</v>
      </c>
      <c r="K205" s="69">
        <f>N168/1000*H205</f>
        <v>0</v>
      </c>
    </row>
    <row r="206" spans="4:11" s="65" customFormat="1" ht="12.75">
      <c r="D206" s="65" t="s">
        <v>196</v>
      </c>
      <c r="H206" s="65">
        <v>0.0111</v>
      </c>
      <c r="K206" s="69">
        <f>N169/1000*H206</f>
        <v>0</v>
      </c>
    </row>
    <row r="207" spans="4:11" s="65" customFormat="1" ht="12.75">
      <c r="D207" s="65" t="s">
        <v>198</v>
      </c>
      <c r="H207" s="65">
        <v>0.01221</v>
      </c>
      <c r="I207" s="65">
        <v>0</v>
      </c>
      <c r="K207" s="69">
        <f>N170/1000*H207</f>
        <v>0</v>
      </c>
    </row>
    <row r="208" s="65" customFormat="1" ht="12.75">
      <c r="I208" s="65">
        <v>0</v>
      </c>
    </row>
    <row r="209" spans="5:9" s="65" customFormat="1" ht="12.75">
      <c r="E209" s="65" t="s">
        <v>201</v>
      </c>
      <c r="G209" s="65">
        <v>0</v>
      </c>
      <c r="I209" s="65">
        <v>0</v>
      </c>
    </row>
    <row r="210" spans="1:6" s="65" customFormat="1" ht="12.75">
      <c r="A210" s="65" t="s">
        <v>212</v>
      </c>
      <c r="B210" s="65" t="s">
        <v>213</v>
      </c>
      <c r="D210" s="65" t="s">
        <v>203</v>
      </c>
      <c r="F210" s="65" t="s">
        <v>193</v>
      </c>
    </row>
    <row r="211" spans="2:6" s="65" customFormat="1" ht="12.75">
      <c r="B211" s="65" t="s">
        <v>214</v>
      </c>
      <c r="D211" s="65" t="s">
        <v>209</v>
      </c>
      <c r="F211" s="65" t="s">
        <v>215</v>
      </c>
    </row>
    <row r="212" spans="4:6" s="65" customFormat="1" ht="12.75">
      <c r="D212" s="65" t="s">
        <v>191</v>
      </c>
      <c r="F212" s="65" t="s">
        <v>216</v>
      </c>
    </row>
    <row r="213" spans="4:11" s="65" customFormat="1" ht="12.75">
      <c r="D213" s="65" t="s">
        <v>158</v>
      </c>
      <c r="H213" s="65">
        <v>0.018432</v>
      </c>
      <c r="I213" s="65">
        <v>0</v>
      </c>
      <c r="K213" s="65">
        <f>N183/1000*H213</f>
        <v>0</v>
      </c>
    </row>
    <row r="214" spans="4:11" s="65" customFormat="1" ht="12.75">
      <c r="D214" s="65" t="s">
        <v>196</v>
      </c>
      <c r="H214" s="65">
        <v>0.02048</v>
      </c>
      <c r="I214" s="65">
        <v>0</v>
      </c>
      <c r="K214" s="65">
        <f>N184/1000*H214</f>
        <v>0</v>
      </c>
    </row>
    <row r="215" spans="4:11" s="65" customFormat="1" ht="12.75">
      <c r="D215" s="65" t="s">
        <v>198</v>
      </c>
      <c r="H215" s="65">
        <f>0.02048*1.1</f>
        <v>0.022528000000000003</v>
      </c>
      <c r="K215" s="69">
        <f>N185/1000*H215</f>
        <v>0.097343488</v>
      </c>
    </row>
    <row r="216" s="65" customFormat="1" ht="12.75">
      <c r="D216" s="65" t="s">
        <v>211</v>
      </c>
    </row>
    <row r="217" s="65" customFormat="1" ht="12.75">
      <c r="D217" s="65" t="s">
        <v>191</v>
      </c>
    </row>
    <row r="218" s="65" customFormat="1" ht="12.75">
      <c r="D218" s="65" t="s">
        <v>192</v>
      </c>
    </row>
    <row r="219" spans="4:11" s="65" customFormat="1" ht="12.75">
      <c r="D219" s="65" t="s">
        <v>158</v>
      </c>
      <c r="K219" s="69">
        <f>N168/1000*H219</f>
        <v>0</v>
      </c>
    </row>
    <row r="220" spans="4:11" s="65" customFormat="1" ht="12.75">
      <c r="D220" s="65" t="s">
        <v>196</v>
      </c>
      <c r="H220" s="65">
        <v>0.02295</v>
      </c>
      <c r="I220" s="65">
        <v>0</v>
      </c>
      <c r="K220" s="69">
        <f>N169/1000*H220</f>
        <v>0</v>
      </c>
    </row>
    <row r="221" spans="4:11" s="65" customFormat="1" ht="12.75">
      <c r="D221" s="65" t="s">
        <v>198</v>
      </c>
      <c r="H221" s="65">
        <v>0.025245</v>
      </c>
      <c r="I221" s="65">
        <v>0</v>
      </c>
      <c r="K221" s="69">
        <f>N170/1000*H221</f>
        <v>0</v>
      </c>
    </row>
    <row r="222" spans="5:11" s="65" customFormat="1" ht="12.75">
      <c r="E222" s="65" t="s">
        <v>201</v>
      </c>
      <c r="G222" s="65">
        <v>0</v>
      </c>
      <c r="I222" s="65">
        <v>0</v>
      </c>
      <c r="K222" s="69"/>
    </row>
    <row r="223" s="65" customFormat="1" ht="12.75">
      <c r="K223" s="69"/>
    </row>
    <row r="224" spans="1:11" s="65" customFormat="1" ht="12.75">
      <c r="A224" s="65" t="s">
        <v>217</v>
      </c>
      <c r="B224" s="65" t="s">
        <v>218</v>
      </c>
      <c r="D224" s="65" t="s">
        <v>203</v>
      </c>
      <c r="K224" s="69"/>
    </row>
    <row r="225" spans="4:11" s="65" customFormat="1" ht="12.75">
      <c r="D225" s="65" t="s">
        <v>209</v>
      </c>
      <c r="K225" s="69"/>
    </row>
    <row r="226" spans="4:11" s="65" customFormat="1" ht="12.75">
      <c r="D226" s="65" t="s">
        <v>191</v>
      </c>
      <c r="K226" s="69"/>
    </row>
    <row r="227" spans="4:11" s="65" customFormat="1" ht="12.75">
      <c r="D227" s="65" t="s">
        <v>158</v>
      </c>
      <c r="H227" s="65">
        <v>0.027585</v>
      </c>
      <c r="I227" s="65">
        <v>0</v>
      </c>
      <c r="K227" s="69">
        <f>N183/1000*H227</f>
        <v>0</v>
      </c>
    </row>
    <row r="228" spans="4:11" s="65" customFormat="1" ht="12.75">
      <c r="D228" s="65" t="s">
        <v>196</v>
      </c>
      <c r="H228" s="65">
        <v>0.3065</v>
      </c>
      <c r="I228" s="65">
        <v>0</v>
      </c>
      <c r="K228" s="69">
        <f>N184/1000*H228</f>
        <v>0</v>
      </c>
    </row>
    <row r="229" spans="4:11" s="65" customFormat="1" ht="12.75">
      <c r="D229" s="65" t="s">
        <v>198</v>
      </c>
      <c r="H229" s="65">
        <f>0.03065*1.1</f>
        <v>0.033715</v>
      </c>
      <c r="K229" s="69">
        <f>N185/1000*H229</f>
        <v>0.145682515</v>
      </c>
    </row>
    <row r="230" spans="4:11" s="65" customFormat="1" ht="12.75">
      <c r="D230" s="65" t="s">
        <v>211</v>
      </c>
      <c r="K230" s="69"/>
    </row>
    <row r="231" spans="4:11" s="65" customFormat="1" ht="12.75">
      <c r="D231" s="65" t="s">
        <v>191</v>
      </c>
      <c r="K231" s="69"/>
    </row>
    <row r="232" spans="4:11" s="65" customFormat="1" ht="12.75">
      <c r="D232" s="65" t="s">
        <v>192</v>
      </c>
      <c r="K232" s="69"/>
    </row>
    <row r="233" spans="4:11" s="65" customFormat="1" ht="12.75">
      <c r="D233" s="65" t="s">
        <v>158</v>
      </c>
      <c r="K233" s="69">
        <f>N168/1000*H233</f>
        <v>0</v>
      </c>
    </row>
    <row r="234" spans="4:11" s="65" customFormat="1" ht="12.75">
      <c r="D234" s="65" t="s">
        <v>196</v>
      </c>
      <c r="H234" s="65">
        <v>0.00539</v>
      </c>
      <c r="I234" s="65">
        <v>0</v>
      </c>
      <c r="K234" s="69">
        <f>N169/1000*H234</f>
        <v>0</v>
      </c>
    </row>
    <row r="235" spans="4:11" s="65" customFormat="1" ht="12.75">
      <c r="D235" s="65" t="s">
        <v>198</v>
      </c>
      <c r="H235" s="65">
        <v>0.005929</v>
      </c>
      <c r="I235" s="65">
        <v>0</v>
      </c>
      <c r="K235" s="69">
        <f>N170/1000*H235</f>
        <v>0</v>
      </c>
    </row>
    <row r="236" spans="5:11" s="65" customFormat="1" ht="12.75">
      <c r="E236" s="65" t="s">
        <v>201</v>
      </c>
      <c r="G236" s="65">
        <v>0</v>
      </c>
      <c r="I236" s="65">
        <v>0</v>
      </c>
      <c r="K236" s="69"/>
    </row>
    <row r="237" s="65" customFormat="1" ht="12.75">
      <c r="K237" s="69"/>
    </row>
    <row r="238" spans="1:11" s="65" customFormat="1" ht="12.75">
      <c r="A238" s="65" t="s">
        <v>219</v>
      </c>
      <c r="B238" s="65" t="s">
        <v>220</v>
      </c>
      <c r="D238" s="65" t="s">
        <v>203</v>
      </c>
      <c r="K238" s="69"/>
    </row>
    <row r="239" spans="2:11" s="65" customFormat="1" ht="12.75">
      <c r="B239" s="65" t="s">
        <v>214</v>
      </c>
      <c r="D239" s="65" t="s">
        <v>209</v>
      </c>
      <c r="K239" s="69"/>
    </row>
    <row r="240" spans="4:11" s="65" customFormat="1" ht="12.75">
      <c r="D240" s="65" t="s">
        <v>191</v>
      </c>
      <c r="K240" s="69"/>
    </row>
    <row r="241" spans="4:11" s="65" customFormat="1" ht="12.75">
      <c r="D241" s="65" t="s">
        <v>158</v>
      </c>
      <c r="H241" s="65">
        <v>0.022437</v>
      </c>
      <c r="I241" s="65">
        <v>0</v>
      </c>
      <c r="K241" s="69">
        <f>N183/1000*H241</f>
        <v>0</v>
      </c>
    </row>
    <row r="242" spans="4:11" s="65" customFormat="1" ht="12.75">
      <c r="D242" s="65" t="s">
        <v>196</v>
      </c>
      <c r="H242" s="65">
        <v>0.02493</v>
      </c>
      <c r="I242" s="65">
        <v>0</v>
      </c>
      <c r="K242" s="69">
        <f>N184/1000*H242</f>
        <v>0</v>
      </c>
    </row>
    <row r="243" spans="4:11" s="65" customFormat="1" ht="12.75">
      <c r="D243" s="65" t="s">
        <v>198</v>
      </c>
      <c r="H243" s="65">
        <f>0.02493*1.1</f>
        <v>0.027423000000000003</v>
      </c>
      <c r="K243" s="69">
        <f>N185/1000*H243</f>
        <v>0.118494783</v>
      </c>
    </row>
    <row r="244" s="65" customFormat="1" ht="12.75">
      <c r="D244" s="65" t="s">
        <v>211</v>
      </c>
    </row>
    <row r="245" s="65" customFormat="1" ht="12.75">
      <c r="D245" s="65" t="s">
        <v>191</v>
      </c>
    </row>
    <row r="246" s="65" customFormat="1" ht="12.75">
      <c r="D246" s="65" t="s">
        <v>192</v>
      </c>
    </row>
    <row r="247" spans="4:11" s="65" customFormat="1" ht="12.75">
      <c r="D247" s="65" t="s">
        <v>158</v>
      </c>
      <c r="K247" s="69">
        <f>N168/1000*H247</f>
        <v>0</v>
      </c>
    </row>
    <row r="248" spans="4:11" s="65" customFormat="1" ht="12.75">
      <c r="D248" s="65" t="s">
        <v>196</v>
      </c>
      <c r="H248" s="65">
        <v>0.00888</v>
      </c>
      <c r="I248" s="65">
        <v>0</v>
      </c>
      <c r="K248" s="69">
        <f>N169/1000*H248</f>
        <v>0</v>
      </c>
    </row>
    <row r="249" spans="4:11" s="65" customFormat="1" ht="12.75">
      <c r="D249" s="65" t="s">
        <v>198</v>
      </c>
      <c r="H249" s="65">
        <v>0.009768</v>
      </c>
      <c r="I249" s="65">
        <v>0</v>
      </c>
      <c r="K249" s="69">
        <f>N170/1000*H249</f>
        <v>0</v>
      </c>
    </row>
    <row r="250" spans="5:11" s="65" customFormat="1" ht="12.75">
      <c r="E250" s="65" t="s">
        <v>201</v>
      </c>
      <c r="G250" s="65">
        <v>0</v>
      </c>
      <c r="I250" s="65">
        <v>0</v>
      </c>
      <c r="K250" s="69"/>
    </row>
    <row r="251" s="65" customFormat="1" ht="12.75">
      <c r="K251" s="69"/>
    </row>
    <row r="252" spans="2:4" s="65" customFormat="1" ht="12.75">
      <c r="B252" s="65" t="s">
        <v>221</v>
      </c>
      <c r="D252" s="65" t="s">
        <v>203</v>
      </c>
    </row>
    <row r="253" s="65" customFormat="1" ht="12.75">
      <c r="D253" s="65" t="s">
        <v>204</v>
      </c>
    </row>
    <row r="254" s="65" customFormat="1" ht="12.75">
      <c r="D254" s="65" t="s">
        <v>205</v>
      </c>
    </row>
    <row r="255" s="65" customFormat="1" ht="12.75">
      <c r="D255" s="65" t="s">
        <v>191</v>
      </c>
    </row>
    <row r="256" spans="4:11" s="65" customFormat="1" ht="12.75">
      <c r="D256" s="65" t="s">
        <v>158</v>
      </c>
      <c r="H256" s="65">
        <v>0.0243</v>
      </c>
      <c r="K256" s="69">
        <f>N196/1000*H256</f>
        <v>0</v>
      </c>
    </row>
    <row r="257" spans="4:11" s="65" customFormat="1" ht="12.75">
      <c r="D257" s="65" t="s">
        <v>196</v>
      </c>
      <c r="H257" s="65">
        <v>0.027</v>
      </c>
      <c r="K257" s="69">
        <f>N197/1000*H257</f>
        <v>0</v>
      </c>
    </row>
    <row r="258" spans="4:11" s="65" customFormat="1" ht="12.75">
      <c r="D258" s="65" t="s">
        <v>198</v>
      </c>
      <c r="H258" s="65">
        <v>0.0297</v>
      </c>
      <c r="K258" s="69">
        <f>N198/1000*H258</f>
        <v>0.1283337</v>
      </c>
    </row>
    <row r="259" spans="1:11" s="65" customFormat="1" ht="12.75">
      <c r="A259" s="65" t="s">
        <v>222</v>
      </c>
      <c r="B259" s="65" t="s">
        <v>223</v>
      </c>
      <c r="D259" s="65" t="s">
        <v>203</v>
      </c>
      <c r="K259" s="69"/>
    </row>
    <row r="260" spans="4:11" s="65" customFormat="1" ht="12.75">
      <c r="D260" s="65" t="s">
        <v>209</v>
      </c>
      <c r="K260" s="69"/>
    </row>
    <row r="261" spans="4:11" s="65" customFormat="1" ht="12.75">
      <c r="D261" s="65" t="s">
        <v>191</v>
      </c>
      <c r="K261" s="69"/>
    </row>
    <row r="262" spans="4:11" s="65" customFormat="1" ht="12.75">
      <c r="D262" s="65" t="s">
        <v>158</v>
      </c>
      <c r="H262" s="65">
        <v>0.01773</v>
      </c>
      <c r="I262" s="65">
        <v>0</v>
      </c>
      <c r="K262" s="69">
        <f>N183/1000*H262</f>
        <v>0</v>
      </c>
    </row>
    <row r="263" spans="4:11" s="65" customFormat="1" ht="12.75">
      <c r="D263" s="65" t="s">
        <v>196</v>
      </c>
      <c r="H263" s="65">
        <v>0.0197</v>
      </c>
      <c r="I263" s="65">
        <v>0</v>
      </c>
      <c r="K263" s="69">
        <f>N184/1000*H263</f>
        <v>0</v>
      </c>
    </row>
    <row r="264" spans="4:11" s="65" customFormat="1" ht="12.75">
      <c r="D264" s="65" t="s">
        <v>198</v>
      </c>
      <c r="H264" s="65">
        <f>0.0197*1.1</f>
        <v>0.021670000000000002</v>
      </c>
      <c r="K264" s="69">
        <f>N185/1000*H264</f>
        <v>0.09363607</v>
      </c>
    </row>
    <row r="265" spans="4:11" s="65" customFormat="1" ht="12.75">
      <c r="D265" s="65" t="s">
        <v>211</v>
      </c>
      <c r="K265" s="69"/>
    </row>
    <row r="266" spans="4:11" s="65" customFormat="1" ht="12.75">
      <c r="D266" s="65" t="s">
        <v>191</v>
      </c>
      <c r="K266" s="69"/>
    </row>
    <row r="267" spans="4:11" s="65" customFormat="1" ht="12.75">
      <c r="D267" s="65" t="s">
        <v>192</v>
      </c>
      <c r="K267" s="69"/>
    </row>
    <row r="268" spans="4:11" s="65" customFormat="1" ht="12.75">
      <c r="D268" s="65" t="s">
        <v>158</v>
      </c>
      <c r="K268" s="69">
        <f>N168/1000*H268</f>
        <v>0</v>
      </c>
    </row>
    <row r="269" spans="4:11" s="65" customFormat="1" ht="12.75">
      <c r="D269" s="65" t="s">
        <v>196</v>
      </c>
      <c r="H269" s="65">
        <v>0.0018</v>
      </c>
      <c r="I269" s="65">
        <v>0</v>
      </c>
      <c r="K269" s="69">
        <f>N169/1000*H269</f>
        <v>0</v>
      </c>
    </row>
    <row r="270" spans="4:11" s="65" customFormat="1" ht="12.75">
      <c r="D270" s="65" t="s">
        <v>198</v>
      </c>
      <c r="H270" s="65">
        <v>0.00198</v>
      </c>
      <c r="I270" s="65">
        <v>0</v>
      </c>
      <c r="K270" s="69">
        <f>N170/1000*H270</f>
        <v>0</v>
      </c>
    </row>
    <row r="271" spans="5:11" s="65" customFormat="1" ht="12.75">
      <c r="E271" s="65" t="s">
        <v>201</v>
      </c>
      <c r="G271" s="65">
        <v>0</v>
      </c>
      <c r="I271" s="65">
        <v>0</v>
      </c>
      <c r="K271" s="69"/>
    </row>
    <row r="272" s="65" customFormat="1" ht="12.75">
      <c r="K272" s="69"/>
    </row>
    <row r="273" spans="2:7" s="65" customFormat="1" ht="12.75">
      <c r="B273" s="65" t="s">
        <v>224</v>
      </c>
      <c r="D273" s="65" t="s">
        <v>203</v>
      </c>
      <c r="G273" s="65" t="s">
        <v>225</v>
      </c>
    </row>
    <row r="274" spans="4:7" s="65" customFormat="1" ht="12.75">
      <c r="D274" s="65" t="s">
        <v>204</v>
      </c>
      <c r="G274" s="65" t="s">
        <v>226</v>
      </c>
    </row>
    <row r="275" spans="4:7" s="65" customFormat="1" ht="12.75">
      <c r="D275" s="65" t="s">
        <v>205</v>
      </c>
      <c r="G275" s="65" t="s">
        <v>227</v>
      </c>
    </row>
    <row r="276" s="65" customFormat="1" ht="12.75">
      <c r="D276" s="65" t="s">
        <v>191</v>
      </c>
    </row>
    <row r="277" spans="4:11" s="65" customFormat="1" ht="12.75">
      <c r="D277" s="65" t="s">
        <v>158</v>
      </c>
      <c r="H277" s="65">
        <v>0.02367</v>
      </c>
      <c r="K277" s="69">
        <f>N178/1000*H277</f>
        <v>0</v>
      </c>
    </row>
    <row r="278" spans="4:11" s="65" customFormat="1" ht="12.75">
      <c r="D278" s="65" t="s">
        <v>196</v>
      </c>
      <c r="H278" s="65">
        <v>0.0263</v>
      </c>
      <c r="K278" s="69">
        <f>N179/1000*H278</f>
        <v>0</v>
      </c>
    </row>
    <row r="279" spans="4:11" s="65" customFormat="1" ht="12.75">
      <c r="D279" s="65" t="s">
        <v>198</v>
      </c>
      <c r="H279" s="65">
        <v>0.02893</v>
      </c>
      <c r="K279" s="69">
        <f>N180/1000*H279</f>
        <v>0.02360688</v>
      </c>
    </row>
    <row r="280" s="65" customFormat="1" ht="12.75">
      <c r="K280" s="69"/>
    </row>
    <row r="281" spans="1:11" s="65" customFormat="1" ht="12.75">
      <c r="A281" s="65" t="s">
        <v>228</v>
      </c>
      <c r="B281" s="65" t="s">
        <v>229</v>
      </c>
      <c r="D281" s="65" t="s">
        <v>203</v>
      </c>
      <c r="K281" s="69"/>
    </row>
    <row r="282" spans="2:11" s="65" customFormat="1" ht="12.75">
      <c r="B282" s="65" t="s">
        <v>230</v>
      </c>
      <c r="D282" s="65" t="s">
        <v>209</v>
      </c>
      <c r="K282" s="69"/>
    </row>
    <row r="283" spans="4:11" s="65" customFormat="1" ht="12.75">
      <c r="D283" s="65" t="s">
        <v>191</v>
      </c>
      <c r="K283" s="69"/>
    </row>
    <row r="284" spans="4:11" s="65" customFormat="1" ht="12.75">
      <c r="D284" s="65" t="s">
        <v>158</v>
      </c>
      <c r="H284" s="65">
        <v>0.014679</v>
      </c>
      <c r="I284" s="65">
        <v>0</v>
      </c>
      <c r="K284" s="69">
        <f>N183/1000*H284</f>
        <v>0</v>
      </c>
    </row>
    <row r="285" spans="4:11" s="65" customFormat="1" ht="12.75">
      <c r="D285" s="65" t="s">
        <v>196</v>
      </c>
      <c r="H285" s="65">
        <v>0.01631</v>
      </c>
      <c r="I285" s="65">
        <v>0</v>
      </c>
      <c r="K285" s="69">
        <f>N184/1000*H285</f>
        <v>0</v>
      </c>
    </row>
    <row r="286" spans="4:11" s="65" customFormat="1" ht="12.75">
      <c r="D286" s="65" t="s">
        <v>198</v>
      </c>
      <c r="H286" s="65">
        <f>0.01631*1.1</f>
        <v>0.017941000000000002</v>
      </c>
      <c r="K286" s="69">
        <f>N185/1000*H286</f>
        <v>0.077523061</v>
      </c>
    </row>
    <row r="287" spans="4:11" s="65" customFormat="1" ht="12.75">
      <c r="D287" s="65" t="s">
        <v>211</v>
      </c>
      <c r="K287" s="69"/>
    </row>
    <row r="288" spans="4:11" s="65" customFormat="1" ht="12.75">
      <c r="D288" s="65" t="s">
        <v>191</v>
      </c>
      <c r="K288" s="69"/>
    </row>
    <row r="289" spans="4:11" s="65" customFormat="1" ht="12.75">
      <c r="D289" s="65" t="s">
        <v>192</v>
      </c>
      <c r="K289" s="69"/>
    </row>
    <row r="290" spans="4:11" s="65" customFormat="1" ht="12.75">
      <c r="D290" s="65" t="s">
        <v>158</v>
      </c>
      <c r="K290" s="69">
        <f>N168/1000*H290</f>
        <v>0</v>
      </c>
    </row>
    <row r="291" spans="4:11" s="65" customFormat="1" ht="12.75">
      <c r="D291" s="65" t="s">
        <v>196</v>
      </c>
      <c r="H291" s="65">
        <v>0.01631</v>
      </c>
      <c r="I291" s="65">
        <v>0</v>
      </c>
      <c r="K291" s="69">
        <f>N169/1000*H291</f>
        <v>0</v>
      </c>
    </row>
    <row r="292" spans="4:11" s="65" customFormat="1" ht="12.75">
      <c r="D292" s="65" t="s">
        <v>198</v>
      </c>
      <c r="H292" s="65">
        <v>0.017941</v>
      </c>
      <c r="I292" s="65">
        <v>0</v>
      </c>
      <c r="K292" s="69">
        <f>N170/1000*H292</f>
        <v>0</v>
      </c>
    </row>
    <row r="293" spans="5:11" s="65" customFormat="1" ht="12.75">
      <c r="E293" s="65" t="s">
        <v>201</v>
      </c>
      <c r="G293" s="65">
        <v>0</v>
      </c>
      <c r="I293" s="65">
        <v>0</v>
      </c>
      <c r="K293" s="69"/>
    </row>
    <row r="294" s="65" customFormat="1" ht="12.75">
      <c r="K294" s="69"/>
    </row>
    <row r="295" spans="1:11" s="65" customFormat="1" ht="12.75">
      <c r="A295" s="65" t="s">
        <v>231</v>
      </c>
      <c r="B295" s="65" t="s">
        <v>232</v>
      </c>
      <c r="D295" s="65" t="s">
        <v>203</v>
      </c>
      <c r="K295" s="69"/>
    </row>
    <row r="296" spans="2:11" s="65" customFormat="1" ht="12.75">
      <c r="B296" s="65" t="s">
        <v>233</v>
      </c>
      <c r="D296" s="65" t="s">
        <v>211</v>
      </c>
      <c r="K296" s="69"/>
    </row>
    <row r="297" spans="4:11" s="65" customFormat="1" ht="12.75">
      <c r="D297" s="65" t="s">
        <v>209</v>
      </c>
      <c r="K297" s="69"/>
    </row>
    <row r="298" spans="4:11" s="65" customFormat="1" ht="12.75">
      <c r="D298" s="65" t="s">
        <v>234</v>
      </c>
      <c r="K298" s="69"/>
    </row>
    <row r="299" spans="4:11" s="65" customFormat="1" ht="12.75">
      <c r="D299" s="65" t="s">
        <v>235</v>
      </c>
      <c r="F299" s="65" t="s">
        <v>236</v>
      </c>
      <c r="K299" s="69"/>
    </row>
    <row r="300" spans="4:11" s="65" customFormat="1" ht="12.75">
      <c r="D300" s="65" t="s">
        <v>191</v>
      </c>
      <c r="F300" s="65" t="s">
        <v>237</v>
      </c>
      <c r="K300" s="69"/>
    </row>
    <row r="301" spans="4:11" s="65" customFormat="1" ht="12.75">
      <c r="D301" s="65" t="s">
        <v>158</v>
      </c>
      <c r="H301" s="65">
        <v>41000</v>
      </c>
      <c r="I301" s="65">
        <v>0</v>
      </c>
      <c r="K301" s="69">
        <f>N196/H301</f>
        <v>0</v>
      </c>
    </row>
    <row r="302" spans="4:11" s="65" customFormat="1" ht="12.75">
      <c r="D302" s="65" t="s">
        <v>196</v>
      </c>
      <c r="H302" s="65">
        <v>39000</v>
      </c>
      <c r="I302" s="65">
        <v>0</v>
      </c>
      <c r="K302" s="69">
        <f>N197/H302</f>
        <v>0</v>
      </c>
    </row>
    <row r="303" spans="4:11" s="65" customFormat="1" ht="12.75">
      <c r="D303" s="65" t="s">
        <v>198</v>
      </c>
      <c r="H303" s="65">
        <v>37000</v>
      </c>
      <c r="I303" s="65">
        <v>0</v>
      </c>
      <c r="K303" s="69">
        <f>N198/H303</f>
        <v>0.11678378378378379</v>
      </c>
    </row>
    <row r="304" s="65" customFormat="1" ht="12.75">
      <c r="K304" s="69"/>
    </row>
    <row r="305" spans="4:11" s="65" customFormat="1" ht="12.75">
      <c r="D305" s="65" t="s">
        <v>238</v>
      </c>
      <c r="K305" s="69"/>
    </row>
    <row r="306" spans="4:11" s="65" customFormat="1" ht="12.75">
      <c r="D306" s="65" t="s">
        <v>239</v>
      </c>
      <c r="F306" s="65" t="s">
        <v>240</v>
      </c>
      <c r="K306" s="69"/>
    </row>
    <row r="307" spans="4:11" s="65" customFormat="1" ht="12.75">
      <c r="D307" s="65" t="s">
        <v>191</v>
      </c>
      <c r="K307" s="69"/>
    </row>
    <row r="308" spans="4:11" s="65" customFormat="1" ht="12.75">
      <c r="D308" s="65" t="s">
        <v>158</v>
      </c>
      <c r="H308" s="65">
        <v>450</v>
      </c>
      <c r="I308" s="65">
        <v>0</v>
      </c>
      <c r="K308" s="69">
        <f>N201/H308</f>
        <v>0</v>
      </c>
    </row>
    <row r="309" spans="4:11" s="65" customFormat="1" ht="12.75">
      <c r="D309" s="65" t="s">
        <v>196</v>
      </c>
      <c r="H309" s="65">
        <v>375</v>
      </c>
      <c r="I309" s="65">
        <v>0</v>
      </c>
      <c r="K309" s="69">
        <f>N202/H309</f>
        <v>0</v>
      </c>
    </row>
    <row r="310" spans="4:11" s="65" customFormat="1" ht="12.75">
      <c r="D310" s="65" t="s">
        <v>198</v>
      </c>
      <c r="H310" s="65">
        <v>310</v>
      </c>
      <c r="I310" s="65">
        <v>0</v>
      </c>
      <c r="K310" s="69">
        <f>N203/H310</f>
        <v>0.2645161290322581</v>
      </c>
    </row>
    <row r="311" spans="5:11" s="65" customFormat="1" ht="12.75">
      <c r="E311" s="65" t="s">
        <v>201</v>
      </c>
      <c r="G311" s="65">
        <v>0</v>
      </c>
      <c r="I311" s="65">
        <v>0</v>
      </c>
      <c r="K311" s="69"/>
    </row>
    <row r="312" s="65" customFormat="1" ht="12.75">
      <c r="K312" s="69"/>
    </row>
    <row r="313" spans="1:11" s="65" customFormat="1" ht="12.75">
      <c r="A313" s="65" t="s">
        <v>241</v>
      </c>
      <c r="B313" s="65" t="s">
        <v>242</v>
      </c>
      <c r="D313" s="65" t="s">
        <v>243</v>
      </c>
      <c r="K313" s="69"/>
    </row>
    <row r="314" spans="4:11" s="65" customFormat="1" ht="12.75">
      <c r="D314" s="65" t="s">
        <v>244</v>
      </c>
      <c r="F314" s="65" t="s">
        <v>240</v>
      </c>
      <c r="K314" s="69"/>
    </row>
    <row r="315" spans="4:11" s="65" customFormat="1" ht="12.75">
      <c r="D315" s="65" t="s">
        <v>245</v>
      </c>
      <c r="K315" s="69"/>
    </row>
    <row r="316" spans="4:11" s="65" customFormat="1" ht="12.75">
      <c r="D316" s="65" t="s">
        <v>158</v>
      </c>
      <c r="H316" s="65">
        <v>2350</v>
      </c>
      <c r="I316" s="65">
        <v>0</v>
      </c>
      <c r="K316" s="69">
        <f>N201/H316</f>
        <v>0</v>
      </c>
    </row>
    <row r="317" spans="4:11" s="65" customFormat="1" ht="12.75">
      <c r="D317" s="65" t="s">
        <v>196</v>
      </c>
      <c r="H317" s="65">
        <v>2250</v>
      </c>
      <c r="I317" s="65">
        <v>0</v>
      </c>
      <c r="K317" s="69">
        <f>N202/H317</f>
        <v>0</v>
      </c>
    </row>
    <row r="318" spans="4:11" s="65" customFormat="1" ht="12.75">
      <c r="D318" s="65" t="s">
        <v>198</v>
      </c>
      <c r="H318" s="65">
        <v>2200</v>
      </c>
      <c r="I318" s="65">
        <v>0</v>
      </c>
      <c r="K318" s="69">
        <f>N203/H318</f>
        <v>0.03727272727272727</v>
      </c>
    </row>
    <row r="319" spans="5:11" s="65" customFormat="1" ht="12.75">
      <c r="E319" s="65" t="s">
        <v>201</v>
      </c>
      <c r="G319" s="65">
        <v>0</v>
      </c>
      <c r="I319" s="65">
        <v>0</v>
      </c>
      <c r="K319" s="69"/>
    </row>
    <row r="320" s="65" customFormat="1" ht="12.75">
      <c r="K320" s="69">
        <f>K182+K183+K184+K192+K193+K194+K199+K200+K201+K205+K206+K207+K213+K214+K215+K219+K220+K221+K227+K228+K229+K233+K234+K235+K241+K242+K243+K247+K248+K249+K256+K257+K258+K262+K263+K264+K268+K269+K270+K277+K278+K279+K284+K285+K286+K290+K291+K292+K301+K302+K303+K308+K309+K310+K316+K317+K318</f>
        <v>1.2692494470887692</v>
      </c>
    </row>
    <row r="321" spans="1:11" s="65" customFormat="1" ht="12.75">
      <c r="A321" s="65" t="s">
        <v>246</v>
      </c>
      <c r="B321" s="65" t="s">
        <v>247</v>
      </c>
      <c r="F321" s="65" t="s">
        <v>248</v>
      </c>
      <c r="I321" s="65">
        <v>1</v>
      </c>
      <c r="K321" s="69">
        <f>K320*1.12</f>
        <v>1.4215593807394216</v>
      </c>
    </row>
    <row r="322" s="65" customFormat="1" ht="12.75">
      <c r="B322" s="65" t="s">
        <v>249</v>
      </c>
    </row>
    <row r="323" s="65" customFormat="1" ht="12.75">
      <c r="B323" s="65" t="s">
        <v>250</v>
      </c>
    </row>
    <row r="324" s="65" customFormat="1" ht="12.75"/>
    <row r="325" spans="1:9" s="65" customFormat="1" ht="12.75">
      <c r="A325" s="65" t="s">
        <v>251</v>
      </c>
      <c r="B325" s="65" t="s">
        <v>252</v>
      </c>
      <c r="I325" s="65">
        <v>2</v>
      </c>
    </row>
    <row r="326" spans="1:9" s="65" customFormat="1" ht="12.75">
      <c r="A326" s="65" t="s">
        <v>253</v>
      </c>
      <c r="B326" s="65" t="s">
        <v>254</v>
      </c>
      <c r="I326" s="65">
        <v>1</v>
      </c>
    </row>
    <row r="327" spans="1:9" s="65" customFormat="1" ht="12.75">
      <c r="A327" s="65" t="s">
        <v>255</v>
      </c>
      <c r="B327" s="65" t="s">
        <v>256</v>
      </c>
      <c r="I327" s="65">
        <v>1</v>
      </c>
    </row>
    <row r="328" spans="2:9" s="65" customFormat="1" ht="12.75">
      <c r="B328" s="65" t="s">
        <v>257</v>
      </c>
      <c r="I328" s="65">
        <v>5</v>
      </c>
    </row>
    <row r="329" s="65" customFormat="1" ht="12.75">
      <c r="F329" s="65" t="s">
        <v>258</v>
      </c>
    </row>
    <row r="330" spans="1:9" s="65" customFormat="1" ht="12.75">
      <c r="A330" s="65" t="s">
        <v>259</v>
      </c>
      <c r="B330" s="65" t="s">
        <v>260</v>
      </c>
      <c r="E330" s="65" t="s">
        <v>261</v>
      </c>
      <c r="G330" s="65">
        <v>1200</v>
      </c>
      <c r="H330" s="65">
        <v>1200</v>
      </c>
      <c r="I330" s="78">
        <f>G330/H330</f>
        <v>1</v>
      </c>
    </row>
    <row r="331" spans="5:9" s="65" customFormat="1" ht="12.75">
      <c r="E331" s="65" t="s">
        <v>262</v>
      </c>
      <c r="H331" s="65">
        <v>1650</v>
      </c>
      <c r="I331" s="78">
        <f>G331/H331</f>
        <v>0</v>
      </c>
    </row>
    <row r="332" spans="5:9" s="65" customFormat="1" ht="12.75">
      <c r="E332" s="65" t="s">
        <v>263</v>
      </c>
      <c r="G332" s="65">
        <v>555</v>
      </c>
      <c r="H332" s="65">
        <v>9000</v>
      </c>
      <c r="I332" s="78">
        <f>G332/H332</f>
        <v>0.06166666666666667</v>
      </c>
    </row>
    <row r="333" spans="3:9" s="65" customFormat="1" ht="12.75">
      <c r="C333" s="65" t="s">
        <v>201</v>
      </c>
      <c r="G333" s="65">
        <f>G330+G332</f>
        <v>1755</v>
      </c>
      <c r="I333" s="78">
        <f>I330+I331+I332</f>
        <v>1.0616666666666668</v>
      </c>
    </row>
    <row r="334" spans="6:9" s="65" customFormat="1" ht="12.75">
      <c r="F334" s="65" t="s">
        <v>258</v>
      </c>
      <c r="I334" s="78"/>
    </row>
    <row r="335" spans="1:9" s="65" customFormat="1" ht="12.75">
      <c r="A335" s="65" t="s">
        <v>264</v>
      </c>
      <c r="B335" s="65" t="s">
        <v>265</v>
      </c>
      <c r="E335" s="65" t="s">
        <v>266</v>
      </c>
      <c r="H335" s="65">
        <v>800</v>
      </c>
      <c r="I335" s="78">
        <f>G335/H335</f>
        <v>0</v>
      </c>
    </row>
    <row r="336" spans="2:9" s="65" customFormat="1" ht="12.75">
      <c r="B336" s="65" t="s">
        <v>267</v>
      </c>
      <c r="E336" s="65" t="s">
        <v>268</v>
      </c>
      <c r="G336" s="65">
        <v>570.4</v>
      </c>
      <c r="H336" s="65">
        <v>960</v>
      </c>
      <c r="I336" s="78">
        <f>G336/H336</f>
        <v>0.5941666666666666</v>
      </c>
    </row>
    <row r="337" spans="5:9" s="65" customFormat="1" ht="12.75">
      <c r="E337" s="65" t="s">
        <v>269</v>
      </c>
      <c r="I337" s="78"/>
    </row>
    <row r="338" spans="3:9" s="65" customFormat="1" ht="12.75">
      <c r="C338" s="65" t="s">
        <v>201</v>
      </c>
      <c r="G338" s="65">
        <f>G335+G336+G337</f>
        <v>570.4</v>
      </c>
      <c r="I338" s="78">
        <f>I335+I336</f>
        <v>0.5941666666666666</v>
      </c>
    </row>
    <row r="339" spans="6:9" s="65" customFormat="1" ht="12.75">
      <c r="F339" s="65" t="s">
        <v>270</v>
      </c>
      <c r="I339" s="78"/>
    </row>
    <row r="340" spans="1:9" s="65" customFormat="1" ht="12.75">
      <c r="A340" s="65" t="s">
        <v>271</v>
      </c>
      <c r="B340" s="65" t="s">
        <v>272</v>
      </c>
      <c r="E340" s="65" t="s">
        <v>273</v>
      </c>
      <c r="H340" s="65">
        <v>500</v>
      </c>
      <c r="I340" s="78">
        <f>G340/H340</f>
        <v>0</v>
      </c>
    </row>
    <row r="341" spans="5:9" s="65" customFormat="1" ht="12.75">
      <c r="E341" s="65" t="s">
        <v>274</v>
      </c>
      <c r="H341" s="65">
        <v>700</v>
      </c>
      <c r="I341" s="78">
        <f>G341/H341</f>
        <v>0</v>
      </c>
    </row>
    <row r="342" spans="5:9" s="65" customFormat="1" ht="12.75">
      <c r="E342" s="65" t="s">
        <v>275</v>
      </c>
      <c r="I342" s="78"/>
    </row>
    <row r="343" spans="3:9" s="65" customFormat="1" ht="12.75">
      <c r="C343" s="65" t="s">
        <v>201</v>
      </c>
      <c r="G343" s="65">
        <v>0</v>
      </c>
      <c r="I343" s="78">
        <f>I340+I341</f>
        <v>0</v>
      </c>
    </row>
    <row r="344" spans="1:2" s="65" customFormat="1" ht="12.75">
      <c r="A344" s="65" t="s">
        <v>276</v>
      </c>
      <c r="B344" s="65" t="s">
        <v>277</v>
      </c>
    </row>
    <row r="345" spans="2:9" s="65" customFormat="1" ht="12.75">
      <c r="B345" s="65" t="s">
        <v>278</v>
      </c>
      <c r="I345" s="65">
        <v>2</v>
      </c>
    </row>
  </sheetData>
  <sheetProtection/>
  <mergeCells count="50">
    <mergeCell ref="A142:G142"/>
    <mergeCell ref="A146:E146"/>
    <mergeCell ref="A148:G148"/>
    <mergeCell ref="A152:D152"/>
    <mergeCell ref="A1:K1"/>
    <mergeCell ref="A2:K2"/>
    <mergeCell ref="C133:I133"/>
    <mergeCell ref="A106:F106"/>
    <mergeCell ref="A108:G108"/>
    <mergeCell ref="A110:D110"/>
    <mergeCell ref="E110:G110"/>
    <mergeCell ref="A112:E112"/>
    <mergeCell ref="A91:D91"/>
    <mergeCell ref="A93:F93"/>
    <mergeCell ref="A97:E97"/>
    <mergeCell ref="C102:D102"/>
    <mergeCell ref="A77:F77"/>
    <mergeCell ref="A80:E80"/>
    <mergeCell ref="A83:G83"/>
    <mergeCell ref="A85:E85"/>
    <mergeCell ref="A87:G87"/>
    <mergeCell ref="A89:G89"/>
    <mergeCell ref="A58:F58"/>
    <mergeCell ref="A60:F60"/>
    <mergeCell ref="A64:F64"/>
    <mergeCell ref="A66:F66"/>
    <mergeCell ref="A68:G68"/>
    <mergeCell ref="A70:G70"/>
    <mergeCell ref="A46:D46"/>
    <mergeCell ref="A48:G48"/>
    <mergeCell ref="A50:G50"/>
    <mergeCell ref="A52:G52"/>
    <mergeCell ref="A54:G54"/>
    <mergeCell ref="A56:G56"/>
    <mergeCell ref="A34:E34"/>
    <mergeCell ref="A36:G36"/>
    <mergeCell ref="A38:G38"/>
    <mergeCell ref="A40:G40"/>
    <mergeCell ref="A42:G42"/>
    <mergeCell ref="A44:G44"/>
    <mergeCell ref="A23:F23"/>
    <mergeCell ref="A28:F28"/>
    <mergeCell ref="A29:G29"/>
    <mergeCell ref="A30:G30"/>
    <mergeCell ref="A31:G31"/>
    <mergeCell ref="A32:G32"/>
    <mergeCell ref="A4:K4"/>
    <mergeCell ref="A5:K5"/>
    <mergeCell ref="A16:G16"/>
    <mergeCell ref="A21:F21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:L14 L38 M73 M89 M91 M101 L116 H142 K142 H148 H150 H152 H154 H156" evalError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317"/>
  <sheetViews>
    <sheetView zoomScalePageLayoutView="0" workbookViewId="0" topLeftCell="A1">
      <selection activeCell="K120" sqref="K120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2812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6" width="9.140625" style="65" customWidth="1"/>
    <col min="17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638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4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65">
        <f>11.18*1.042</f>
        <v>11.64956</v>
      </c>
      <c r="N5" s="65">
        <f>M5*0.04</f>
        <v>0.46598239999999996</v>
      </c>
    </row>
    <row r="6" spans="1:14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65">
        <f>11.18*1.042</f>
        <v>11.64956</v>
      </c>
      <c r="N6" s="65">
        <f>M6*0.04</f>
        <v>0.46598239999999996</v>
      </c>
    </row>
    <row r="7" spans="1:13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M7" s="65">
        <f>11.43*1.042</f>
        <v>11.91006</v>
      </c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6" s="9" customFormat="1" ht="15.75">
      <c r="A11" s="11"/>
      <c r="B11" s="11"/>
      <c r="C11" s="12"/>
      <c r="D11" s="11"/>
      <c r="K11" s="5"/>
      <c r="L11" s="67"/>
      <c r="M11" s="67"/>
      <c r="N11" s="67"/>
      <c r="O11" s="67"/>
      <c r="P11" s="67"/>
    </row>
    <row r="12" spans="1:16" s="9" customFormat="1" ht="15.75">
      <c r="A12" s="11" t="s">
        <v>69</v>
      </c>
      <c r="B12" s="11"/>
      <c r="C12" s="12"/>
      <c r="D12" s="11"/>
      <c r="E12" s="9">
        <v>232740.8</v>
      </c>
      <c r="F12" s="9" t="s">
        <v>70</v>
      </c>
      <c r="H12" s="13"/>
      <c r="I12" s="13"/>
      <c r="K12" s="13"/>
      <c r="L12" s="67"/>
      <c r="M12" s="67"/>
      <c r="N12" s="67"/>
      <c r="O12" s="67"/>
      <c r="P12" s="67"/>
    </row>
    <row r="13" spans="1:16" s="9" customFormat="1" ht="15.75">
      <c r="A13" s="11"/>
      <c r="B13" s="11"/>
      <c r="C13" s="12"/>
      <c r="D13" s="11"/>
      <c r="H13" s="13"/>
      <c r="I13" s="13"/>
      <c r="K13" s="13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K17+K32+K56+K72+K79+K89+K48</f>
        <v>219596.75396471447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H19+H20+H21+H23+H25+H26+H28+H29+H30</f>
        <v>39758.50517908617</v>
      </c>
      <c r="M17" s="65" t="s">
        <v>76</v>
      </c>
      <c r="O17" s="78">
        <f>I305</f>
        <v>4.088555555555556</v>
      </c>
    </row>
    <row r="18" spans="1:15" ht="12.75">
      <c r="A18" s="22" t="s">
        <v>311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78">
        <f>I310</f>
        <v>2.079375</v>
      </c>
    </row>
    <row r="19" spans="1:15" ht="12.75">
      <c r="A19" s="113" t="s">
        <v>639</v>
      </c>
      <c r="B19" s="113"/>
      <c r="C19" s="113"/>
      <c r="D19" s="113"/>
      <c r="E19" s="113"/>
      <c r="F19" s="113"/>
      <c r="G19" s="22"/>
      <c r="H19" s="23">
        <f>O17*2600*1.75*1.07</f>
        <v>19905.132722222224</v>
      </c>
      <c r="I19" s="22"/>
      <c r="J19" s="22"/>
      <c r="K19" s="23"/>
      <c r="M19" s="65" t="s">
        <v>80</v>
      </c>
      <c r="O19" s="78">
        <f>I315</f>
        <v>1.4528571428571428</v>
      </c>
    </row>
    <row r="20" spans="1:15" ht="12.75">
      <c r="A20" s="113" t="s">
        <v>640</v>
      </c>
      <c r="B20" s="113"/>
      <c r="C20" s="113"/>
      <c r="D20" s="113"/>
      <c r="E20" s="113"/>
      <c r="F20" s="113"/>
      <c r="G20" s="22"/>
      <c r="H20" s="23">
        <f>O19*2600*1.5*1.07</f>
        <v>6062.772857142857</v>
      </c>
      <c r="I20" s="22"/>
      <c r="J20" s="22"/>
      <c r="K20" s="23"/>
      <c r="M20" s="65" t="s">
        <v>314</v>
      </c>
      <c r="O20" s="65">
        <v>19541.7</v>
      </c>
    </row>
    <row r="21" spans="1:15" ht="12.75">
      <c r="A21" s="113" t="s">
        <v>641</v>
      </c>
      <c r="B21" s="113"/>
      <c r="C21" s="113"/>
      <c r="D21" s="113"/>
      <c r="E21" s="113"/>
      <c r="F21" s="113"/>
      <c r="G21" s="22"/>
      <c r="H21" s="23">
        <f>O18*2203*1.3*1.07</f>
        <v>6371.980606875002</v>
      </c>
      <c r="I21" s="22"/>
      <c r="J21" s="22"/>
      <c r="K21" s="23"/>
      <c r="M21" s="65" t="s">
        <v>83</v>
      </c>
      <c r="O21" s="65">
        <v>1015</v>
      </c>
    </row>
    <row r="22" spans="1:13" ht="12.75" hidden="1">
      <c r="A22" s="22"/>
      <c r="B22" s="22"/>
      <c r="C22" s="22"/>
      <c r="D22" s="22"/>
      <c r="E22" s="22"/>
      <c r="F22" s="22"/>
      <c r="G22" s="22"/>
      <c r="H22" s="23"/>
      <c r="I22" s="22"/>
      <c r="J22" s="22"/>
      <c r="M22" s="65" t="s">
        <v>316</v>
      </c>
    </row>
    <row r="23" spans="1:16" ht="12.75">
      <c r="A23" s="23">
        <f>H19+H20+H21</f>
        <v>32339.88618624008</v>
      </c>
      <c r="B23" s="22" t="s">
        <v>84</v>
      </c>
      <c r="C23" s="22"/>
      <c r="D23" s="22"/>
      <c r="E23" s="22"/>
      <c r="F23" s="22"/>
      <c r="G23" s="22"/>
      <c r="H23" s="23">
        <f>(H19+H20+H21)*14.2%</f>
        <v>4592.263838446091</v>
      </c>
      <c r="I23" s="22"/>
      <c r="J23" s="22">
        <v>781740.1</v>
      </c>
      <c r="K23" s="25"/>
      <c r="L23" s="70"/>
      <c r="M23" s="65" t="s">
        <v>85</v>
      </c>
      <c r="P23" s="65">
        <f>O23/2</f>
        <v>0</v>
      </c>
    </row>
    <row r="24" spans="1:16" ht="12.75">
      <c r="A24" s="22" t="s">
        <v>86</v>
      </c>
      <c r="B24" s="22"/>
      <c r="C24" s="22"/>
      <c r="D24" s="22"/>
      <c r="E24" s="22"/>
      <c r="F24" s="22"/>
      <c r="G24" s="22"/>
      <c r="H24" s="23"/>
      <c r="I24" s="22"/>
      <c r="J24" s="22">
        <v>113966.82</v>
      </c>
      <c r="K24" s="23"/>
      <c r="N24" s="65">
        <v>9</v>
      </c>
      <c r="O24" s="65">
        <v>6</v>
      </c>
      <c r="P24" s="65">
        <f>O24/2</f>
        <v>3</v>
      </c>
    </row>
    <row r="25" spans="1:16" ht="12.75">
      <c r="A25" s="113" t="s">
        <v>642</v>
      </c>
      <c r="B25" s="113"/>
      <c r="C25" s="113"/>
      <c r="D25" s="113"/>
      <c r="E25" s="113"/>
      <c r="F25" s="113"/>
      <c r="G25" s="22"/>
      <c r="H25" s="23">
        <f>0.057*O20</f>
        <v>1113.8769</v>
      </c>
      <c r="I25" s="23"/>
      <c r="J25" s="22"/>
      <c r="K25" s="23"/>
      <c r="N25" s="65">
        <v>10</v>
      </c>
      <c r="P25" s="65">
        <f>O25/2</f>
        <v>0</v>
      </c>
    </row>
    <row r="26" spans="1:14" ht="12.75">
      <c r="A26" s="113" t="s">
        <v>643</v>
      </c>
      <c r="B26" s="113"/>
      <c r="C26" s="113"/>
      <c r="D26" s="113"/>
      <c r="E26" s="113"/>
      <c r="F26" s="113"/>
      <c r="G26" s="113"/>
      <c r="H26" s="23">
        <f>0.0085*O20</f>
        <v>166.10445</v>
      </c>
      <c r="I26" s="23"/>
      <c r="J26" s="22"/>
      <c r="K26" s="23"/>
      <c r="N26" s="65">
        <v>16</v>
      </c>
    </row>
    <row r="27" spans="1:11" ht="12.75">
      <c r="A27" s="113" t="s">
        <v>644</v>
      </c>
      <c r="B27" s="113"/>
      <c r="C27" s="113"/>
      <c r="D27" s="113"/>
      <c r="E27" s="113"/>
      <c r="F27" s="113"/>
      <c r="G27" s="113"/>
      <c r="H27" s="23">
        <f>0.0018*O20</f>
        <v>35.17506</v>
      </c>
      <c r="I27" s="23"/>
      <c r="J27" s="22"/>
      <c r="K27" s="23"/>
    </row>
    <row r="28" spans="1:13" ht="12.75">
      <c r="A28" s="113" t="s">
        <v>645</v>
      </c>
      <c r="B28" s="113"/>
      <c r="C28" s="113"/>
      <c r="D28" s="113"/>
      <c r="E28" s="113"/>
      <c r="F28" s="113"/>
      <c r="G28" s="113"/>
      <c r="H28" s="23">
        <f>O20*0.005</f>
        <v>97.7085</v>
      </c>
      <c r="I28" s="22"/>
      <c r="J28" s="22"/>
      <c r="K28" s="23"/>
      <c r="M28" s="65" t="s">
        <v>90</v>
      </c>
    </row>
    <row r="29" spans="1:15" ht="12.75">
      <c r="A29" s="113" t="s">
        <v>646</v>
      </c>
      <c r="B29" s="113"/>
      <c r="C29" s="113"/>
      <c r="D29" s="113"/>
      <c r="E29" s="113"/>
      <c r="F29" s="113"/>
      <c r="G29" s="113"/>
      <c r="H29" s="23">
        <f>O20*0.017</f>
        <v>332.2089</v>
      </c>
      <c r="I29" s="22"/>
      <c r="J29" s="22">
        <v>13606.82</v>
      </c>
      <c r="K29" s="23"/>
      <c r="M29" s="65" t="s">
        <v>92</v>
      </c>
      <c r="O29" s="65">
        <v>132</v>
      </c>
    </row>
    <row r="30" spans="1:15" ht="12.75">
      <c r="A30" s="113" t="s">
        <v>647</v>
      </c>
      <c r="B30" s="113"/>
      <c r="C30" s="113"/>
      <c r="D30" s="113"/>
      <c r="E30" s="113"/>
      <c r="F30" s="113"/>
      <c r="G30" s="113"/>
      <c r="H30" s="23">
        <f>0.054*O20*1.058</f>
        <v>1116.4564044</v>
      </c>
      <c r="I30" s="22"/>
      <c r="J30" s="22"/>
      <c r="K30" s="23"/>
      <c r="M30" s="65" t="s">
        <v>94</v>
      </c>
      <c r="O30" s="65">
        <v>6100</v>
      </c>
    </row>
    <row r="31" spans="1:11" ht="12.75">
      <c r="A31" s="113"/>
      <c r="B31" s="113"/>
      <c r="C31" s="113"/>
      <c r="D31" s="113"/>
      <c r="E31" s="113"/>
      <c r="F31" s="113"/>
      <c r="G31" s="113"/>
      <c r="H31" s="23"/>
      <c r="I31" s="22"/>
      <c r="J31" s="22"/>
      <c r="K31" s="23"/>
    </row>
    <row r="32" spans="1:15" ht="15.75">
      <c r="A32" s="110" t="s">
        <v>95</v>
      </c>
      <c r="B32" s="110"/>
      <c r="C32" s="110"/>
      <c r="D32" s="110"/>
      <c r="E32" s="110"/>
      <c r="F32" s="20"/>
      <c r="G32" s="20"/>
      <c r="H32" s="27"/>
      <c r="I32" s="20"/>
      <c r="J32" s="20"/>
      <c r="K32" s="21">
        <f>H34+H35+H36+H37+H38+H39+H40+H41+H42+H43+H44+H45+H46</f>
        <v>40138.60229555555</v>
      </c>
      <c r="M32" s="65" t="s">
        <v>96</v>
      </c>
      <c r="O32" s="69">
        <f>K293</f>
        <v>5.136898212449451</v>
      </c>
    </row>
    <row r="33" spans="1:11" ht="12.75">
      <c r="A33" s="22"/>
      <c r="B33" s="22" t="s">
        <v>64</v>
      </c>
      <c r="C33" s="22"/>
      <c r="D33" s="22"/>
      <c r="E33" s="22"/>
      <c r="F33" s="22"/>
      <c r="G33" s="22"/>
      <c r="H33" s="28"/>
      <c r="I33" s="22"/>
      <c r="J33" s="22"/>
      <c r="K33" s="29"/>
    </row>
    <row r="34" spans="1:11" ht="12.75">
      <c r="A34" s="113" t="s">
        <v>648</v>
      </c>
      <c r="B34" s="113"/>
      <c r="C34" s="113"/>
      <c r="D34" s="113"/>
      <c r="E34" s="113"/>
      <c r="F34" s="113"/>
      <c r="G34" s="113"/>
      <c r="H34" s="28">
        <f>(O21*1.5)/12*90.3*1.058</f>
        <v>12121.307625000001</v>
      </c>
      <c r="I34" s="22"/>
      <c r="J34" s="22"/>
      <c r="K34" s="29"/>
    </row>
    <row r="35" spans="1:12" ht="12.75">
      <c r="A35" s="113" t="s">
        <v>649</v>
      </c>
      <c r="B35" s="113"/>
      <c r="C35" s="113"/>
      <c r="D35" s="113"/>
      <c r="E35" s="113"/>
      <c r="F35" s="113"/>
      <c r="G35" s="113"/>
      <c r="H35" s="28">
        <f>O21*1.5*33.1/12*1.058</f>
        <v>4443.137125</v>
      </c>
      <c r="I35" s="22"/>
      <c r="J35" s="22"/>
      <c r="K35" s="29"/>
      <c r="L35" s="65">
        <f>1.16*O20</f>
        <v>22668.372</v>
      </c>
    </row>
    <row r="36" spans="1:11" ht="12.75">
      <c r="A36" s="113" t="s">
        <v>650</v>
      </c>
      <c r="B36" s="113"/>
      <c r="C36" s="113"/>
      <c r="D36" s="113"/>
      <c r="E36" s="113"/>
      <c r="F36" s="113"/>
      <c r="G36" s="113"/>
      <c r="H36" s="28">
        <f>O30*2.48</f>
        <v>15128</v>
      </c>
      <c r="I36" s="22"/>
      <c r="J36" s="22"/>
      <c r="K36" s="29"/>
    </row>
    <row r="37" spans="1:11" ht="12.75">
      <c r="A37" s="113" t="s">
        <v>651</v>
      </c>
      <c r="B37" s="113"/>
      <c r="C37" s="113"/>
      <c r="D37" s="113"/>
      <c r="E37" s="113"/>
      <c r="F37" s="113"/>
      <c r="G37" s="113"/>
      <c r="H37" s="28">
        <f>O20*0.028</f>
        <v>547.1676</v>
      </c>
      <c r="I37" s="22"/>
      <c r="J37" s="22"/>
      <c r="K37" s="29"/>
    </row>
    <row r="38" spans="1:11" ht="12.75">
      <c r="A38" s="113" t="s">
        <v>652</v>
      </c>
      <c r="B38" s="113"/>
      <c r="C38" s="113"/>
      <c r="D38" s="113"/>
      <c r="E38" s="113"/>
      <c r="F38" s="113"/>
      <c r="G38" s="113"/>
      <c r="H38" s="28">
        <f>O20*0.0027</f>
        <v>52.76259</v>
      </c>
      <c r="I38" s="22"/>
      <c r="J38" s="22"/>
      <c r="K38" s="29"/>
    </row>
    <row r="39" spans="1:11" ht="12.75">
      <c r="A39" s="113" t="s">
        <v>653</v>
      </c>
      <c r="B39" s="113"/>
      <c r="C39" s="113"/>
      <c r="D39" s="113"/>
      <c r="E39" s="24"/>
      <c r="F39" s="24"/>
      <c r="G39" s="24"/>
      <c r="H39" s="28">
        <f>O20*0.216</f>
        <v>4221.0072</v>
      </c>
      <c r="I39" s="22"/>
      <c r="J39" s="22"/>
      <c r="K39" s="29"/>
    </row>
    <row r="40" spans="1:11" ht="12.75">
      <c r="A40" s="113" t="s">
        <v>654</v>
      </c>
      <c r="B40" s="113"/>
      <c r="C40" s="113"/>
      <c r="D40" s="113"/>
      <c r="E40" s="113"/>
      <c r="F40" s="113"/>
      <c r="G40" s="113"/>
      <c r="H40" s="28">
        <f>O29*4.81/12</f>
        <v>52.91</v>
      </c>
      <c r="I40" s="22"/>
      <c r="J40" s="22"/>
      <c r="K40" s="29"/>
    </row>
    <row r="41" spans="1:15" ht="12.75">
      <c r="A41" s="113" t="s">
        <v>655</v>
      </c>
      <c r="B41" s="113"/>
      <c r="C41" s="113"/>
      <c r="D41" s="113"/>
      <c r="E41" s="113"/>
      <c r="F41" s="113"/>
      <c r="G41" s="113"/>
      <c r="H41" s="28">
        <f>O41*80/12/3</f>
        <v>875.5555555555555</v>
      </c>
      <c r="I41" s="22"/>
      <c r="J41" s="22"/>
      <c r="K41" s="29"/>
      <c r="M41" s="65" t="s">
        <v>586</v>
      </c>
      <c r="O41" s="65">
        <v>394</v>
      </c>
    </row>
    <row r="42" spans="1:11" ht="12.75">
      <c r="A42" s="113" t="s">
        <v>656</v>
      </c>
      <c r="B42" s="113"/>
      <c r="C42" s="113"/>
      <c r="D42" s="113"/>
      <c r="E42" s="113"/>
      <c r="F42" s="113"/>
      <c r="G42" s="113"/>
      <c r="H42" s="28">
        <f>O20*0.027</f>
        <v>527.6259</v>
      </c>
      <c r="I42" s="22"/>
      <c r="J42" s="32"/>
      <c r="K42" s="29"/>
    </row>
    <row r="43" spans="1:11" ht="12.75">
      <c r="A43" s="113" t="s">
        <v>657</v>
      </c>
      <c r="B43" s="113"/>
      <c r="C43" s="113"/>
      <c r="D43" s="113"/>
      <c r="E43" s="113"/>
      <c r="F43" s="113"/>
      <c r="G43" s="113"/>
      <c r="H43" s="28">
        <f>O20*0.022</f>
        <v>429.9174</v>
      </c>
      <c r="I43" s="22"/>
      <c r="J43" s="22"/>
      <c r="K43" s="29"/>
    </row>
    <row r="44" spans="1:11" ht="12.75">
      <c r="A44" s="113" t="s">
        <v>658</v>
      </c>
      <c r="B44" s="113"/>
      <c r="C44" s="113"/>
      <c r="D44" s="113"/>
      <c r="E44" s="113"/>
      <c r="F44" s="113"/>
      <c r="G44" s="113"/>
      <c r="H44" s="28">
        <f>O20*0.022</f>
        <v>429.9174</v>
      </c>
      <c r="I44" s="22"/>
      <c r="J44" s="22"/>
      <c r="K44" s="29"/>
    </row>
    <row r="45" spans="1:11" ht="12.75">
      <c r="A45" s="113" t="s">
        <v>659</v>
      </c>
      <c r="B45" s="113"/>
      <c r="C45" s="113"/>
      <c r="D45" s="113"/>
      <c r="E45" s="113"/>
      <c r="F45" s="113"/>
      <c r="G45" s="24"/>
      <c r="H45" s="28">
        <f>O20*0.053</f>
        <v>1035.7101</v>
      </c>
      <c r="I45" s="22"/>
      <c r="J45" s="22"/>
      <c r="K45" s="29"/>
    </row>
    <row r="46" spans="1:11" ht="12.75">
      <c r="A46" s="113" t="s">
        <v>660</v>
      </c>
      <c r="B46" s="113"/>
      <c r="C46" s="113"/>
      <c r="D46" s="113"/>
      <c r="E46" s="113"/>
      <c r="F46" s="113"/>
      <c r="G46" s="24"/>
      <c r="H46" s="28">
        <f>O20*0.014</f>
        <v>273.5838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5.75">
      <c r="A48" s="86" t="s">
        <v>148</v>
      </c>
      <c r="B48" s="86"/>
      <c r="C48" s="86"/>
      <c r="D48" s="86"/>
      <c r="E48" s="86"/>
      <c r="F48" s="86"/>
      <c r="G48" s="86"/>
      <c r="H48" s="87"/>
      <c r="I48" s="88"/>
      <c r="J48" s="88">
        <v>9460.05</v>
      </c>
      <c r="K48" s="89">
        <f>H50+H51+H52+H53+H54</f>
        <v>43286.42880392156</v>
      </c>
    </row>
    <row r="49" spans="1:11" ht="12.75">
      <c r="A49" s="24"/>
      <c r="B49" s="24" t="s">
        <v>64</v>
      </c>
      <c r="C49" s="24"/>
      <c r="D49" s="24"/>
      <c r="E49" s="24"/>
      <c r="F49" s="24"/>
      <c r="G49" s="24"/>
      <c r="H49" s="28"/>
      <c r="I49" s="22"/>
      <c r="J49" s="22"/>
      <c r="K49" s="29"/>
    </row>
    <row r="50" spans="1:13" ht="12.75">
      <c r="A50" s="113" t="s">
        <v>661</v>
      </c>
      <c r="B50" s="113"/>
      <c r="C50" s="113"/>
      <c r="D50" s="113"/>
      <c r="E50" s="113"/>
      <c r="F50" s="113"/>
      <c r="G50" s="24"/>
      <c r="H50" s="28">
        <f>O20*2.07</f>
        <v>40451.318999999996</v>
      </c>
      <c r="I50" s="22"/>
      <c r="J50" s="22"/>
      <c r="K50" s="29"/>
      <c r="M50" s="65">
        <v>18024</v>
      </c>
    </row>
    <row r="51" spans="1:11" ht="12.75">
      <c r="A51" s="113" t="s">
        <v>662</v>
      </c>
      <c r="B51" s="113"/>
      <c r="C51" s="113"/>
      <c r="D51" s="113"/>
      <c r="E51" s="113"/>
      <c r="F51" s="113"/>
      <c r="G51" s="24"/>
      <c r="H51" s="28">
        <f>1380*11/12</f>
        <v>1265</v>
      </c>
      <c r="I51" s="22"/>
      <c r="J51" s="22"/>
      <c r="K51" s="29"/>
    </row>
    <row r="52" spans="1:11" ht="12.75">
      <c r="A52" s="113" t="s">
        <v>663</v>
      </c>
      <c r="B52" s="113"/>
      <c r="C52" s="113"/>
      <c r="D52" s="113"/>
      <c r="E52" s="113"/>
      <c r="F52" s="113"/>
      <c r="G52" s="113"/>
      <c r="H52" s="28">
        <f>1567*11/12</f>
        <v>1436.4166666666667</v>
      </c>
      <c r="I52" s="22"/>
      <c r="J52" s="22"/>
      <c r="K52" s="29"/>
    </row>
    <row r="53" spans="1:11" ht="12.75">
      <c r="A53" s="113" t="s">
        <v>664</v>
      </c>
      <c r="B53" s="113"/>
      <c r="C53" s="113"/>
      <c r="D53" s="113"/>
      <c r="E53" s="113"/>
      <c r="F53" s="113"/>
      <c r="G53" s="113"/>
      <c r="H53" s="28">
        <f>56.4*11/2/12</f>
        <v>25.849999999999998</v>
      </c>
      <c r="I53" s="22"/>
      <c r="J53" s="22"/>
      <c r="K53" s="29"/>
    </row>
    <row r="54" spans="1:11" ht="12.75">
      <c r="A54" s="24" t="s">
        <v>340</v>
      </c>
      <c r="B54" s="24"/>
      <c r="C54" s="24"/>
      <c r="D54" s="24"/>
      <c r="E54" s="24"/>
      <c r="F54" s="24"/>
      <c r="G54" s="24"/>
      <c r="H54" s="28">
        <f>10000/85*11/12</f>
        <v>107.84313725490195</v>
      </c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3" ht="15.75">
      <c r="A56" s="20" t="s">
        <v>111</v>
      </c>
      <c r="B56" s="20"/>
      <c r="C56" s="20"/>
      <c r="D56" s="20"/>
      <c r="E56" s="20"/>
      <c r="F56" s="20"/>
      <c r="G56" s="20"/>
      <c r="H56" s="27"/>
      <c r="I56" s="20"/>
      <c r="J56" s="20"/>
      <c r="K56" s="21">
        <f>H59+H61+H62+H63+H64+H65+H66+H67+H69+H70</f>
        <v>61757.96690615117</v>
      </c>
      <c r="M56" s="71">
        <f>K56/309084*O20</f>
        <v>3904.6203035095127</v>
      </c>
    </row>
    <row r="57" spans="1:11" ht="12.75">
      <c r="A57" s="22"/>
      <c r="B57" s="22" t="s">
        <v>64</v>
      </c>
      <c r="C57" s="22"/>
      <c r="D57" s="22"/>
      <c r="E57" s="22"/>
      <c r="F57" s="22"/>
      <c r="G57" s="22"/>
      <c r="H57" s="28"/>
      <c r="I57" s="22"/>
      <c r="J57" s="22"/>
      <c r="K57" s="29"/>
    </row>
    <row r="58" spans="1:11" ht="12.75">
      <c r="A58" s="33" t="s">
        <v>112</v>
      </c>
      <c r="B58" s="33"/>
      <c r="C58" s="33"/>
      <c r="D58" s="33"/>
      <c r="E58" s="33"/>
      <c r="F58" s="33"/>
      <c r="G58" s="33"/>
      <c r="H58" s="34"/>
      <c r="I58" s="33"/>
      <c r="J58" s="33"/>
      <c r="K58" s="35"/>
    </row>
    <row r="59" spans="1:13" ht="12.75">
      <c r="A59" s="111" t="s">
        <v>665</v>
      </c>
      <c r="B59" s="111"/>
      <c r="C59" s="111"/>
      <c r="D59" s="111"/>
      <c r="E59" s="111"/>
      <c r="F59" s="111"/>
      <c r="G59" s="36"/>
      <c r="H59" s="37">
        <f>K293*24.48*165.1*1.5*1.07</f>
        <v>33322.26269041259</v>
      </c>
      <c r="I59" s="38"/>
      <c r="J59" s="38"/>
      <c r="K59" s="35"/>
      <c r="M59" s="69">
        <f>K293</f>
        <v>5.136898212449451</v>
      </c>
    </row>
    <row r="60" spans="1:11" ht="12.75">
      <c r="A60" s="33" t="s">
        <v>114</v>
      </c>
      <c r="B60" s="33"/>
      <c r="C60" s="33"/>
      <c r="D60" s="33"/>
      <c r="E60" s="33"/>
      <c r="F60" s="33"/>
      <c r="G60" s="33"/>
      <c r="H60" s="34"/>
      <c r="I60" s="33"/>
      <c r="J60" s="33"/>
      <c r="K60" s="35"/>
    </row>
    <row r="61" spans="1:11" ht="12.75">
      <c r="A61" s="39">
        <f>H59</f>
        <v>33322.26269041259</v>
      </c>
      <c r="B61" s="36" t="s">
        <v>115</v>
      </c>
      <c r="C61" s="36"/>
      <c r="D61" s="36"/>
      <c r="E61" s="36"/>
      <c r="F61" s="36"/>
      <c r="G61" s="38"/>
      <c r="H61" s="37">
        <f>H59*14.2%</f>
        <v>4731.761302038587</v>
      </c>
      <c r="I61" s="38"/>
      <c r="J61" s="38"/>
      <c r="K61" s="35"/>
    </row>
    <row r="62" spans="1:11" ht="12.75">
      <c r="A62" s="30" t="s">
        <v>86</v>
      </c>
      <c r="B62" s="30"/>
      <c r="C62" s="30"/>
      <c r="D62" s="30"/>
      <c r="E62" s="30"/>
      <c r="F62" s="40"/>
      <c r="G62" s="40"/>
      <c r="H62" s="37">
        <f>0.04*O20</f>
        <v>781.668</v>
      </c>
      <c r="I62" s="38"/>
      <c r="J62" s="38"/>
      <c r="K62" s="35"/>
    </row>
    <row r="63" spans="1:11" ht="12.75">
      <c r="A63" s="108" t="s">
        <v>116</v>
      </c>
      <c r="B63" s="108"/>
      <c r="C63" s="108"/>
      <c r="D63" s="108"/>
      <c r="E63" s="108"/>
      <c r="F63" s="108"/>
      <c r="G63" s="108"/>
      <c r="H63" s="37">
        <v>19500</v>
      </c>
      <c r="I63" s="38"/>
      <c r="J63" s="38"/>
      <c r="K63" s="35"/>
    </row>
    <row r="64" spans="1:11" ht="12.75">
      <c r="A64" s="108" t="s">
        <v>666</v>
      </c>
      <c r="B64" s="108"/>
      <c r="C64" s="108"/>
      <c r="D64" s="108"/>
      <c r="E64" s="108"/>
      <c r="F64" s="30"/>
      <c r="G64" s="30"/>
      <c r="H64" s="37">
        <f>0.0037*O20</f>
        <v>72.30429000000001</v>
      </c>
      <c r="I64" s="38"/>
      <c r="J64" s="38"/>
      <c r="K64" s="35"/>
    </row>
    <row r="65" spans="1:12" ht="12.75">
      <c r="A65" s="108" t="s">
        <v>667</v>
      </c>
      <c r="B65" s="108"/>
      <c r="C65" s="108"/>
      <c r="D65" s="108"/>
      <c r="E65" s="108"/>
      <c r="F65" s="108"/>
      <c r="G65" s="108"/>
      <c r="H65" s="37">
        <f>O20*0.082</f>
        <v>1602.4194000000002</v>
      </c>
      <c r="I65" s="38"/>
      <c r="J65" s="38"/>
      <c r="K65" s="35"/>
      <c r="L65" s="69"/>
    </row>
    <row r="66" spans="1:13" ht="12.75">
      <c r="A66" s="108" t="s">
        <v>668</v>
      </c>
      <c r="B66" s="108"/>
      <c r="C66" s="108"/>
      <c r="D66" s="108"/>
      <c r="E66" s="108"/>
      <c r="F66" s="108"/>
      <c r="G66" s="108"/>
      <c r="H66" s="31">
        <f>O20*0.023*1.107</f>
        <v>497.55122370000004</v>
      </c>
      <c r="I66" s="33"/>
      <c r="J66" s="33"/>
      <c r="K66" s="35"/>
      <c r="M66" s="65">
        <f>36646.37/309083*O20</f>
        <v>2316.958126551768</v>
      </c>
    </row>
    <row r="67" spans="1:11" ht="12.75">
      <c r="A67" s="41" t="s">
        <v>120</v>
      </c>
      <c r="B67" s="41"/>
      <c r="C67" s="41"/>
      <c r="D67" s="41"/>
      <c r="E67" s="40"/>
      <c r="F67" s="40"/>
      <c r="G67" s="40"/>
      <c r="H67" s="31">
        <v>600</v>
      </c>
      <c r="I67" s="38"/>
      <c r="J67" s="38"/>
      <c r="K67" s="35"/>
    </row>
    <row r="68" spans="1:11" ht="12.75" customHeight="1" hidden="1">
      <c r="A68" s="38"/>
      <c r="B68" s="38"/>
      <c r="C68" s="38"/>
      <c r="D68" s="40"/>
      <c r="E68" s="40"/>
      <c r="F68" s="40"/>
      <c r="G68" s="40"/>
      <c r="H68" s="121"/>
      <c r="I68" s="40"/>
      <c r="J68" s="40"/>
      <c r="K68" s="122"/>
    </row>
    <row r="69" spans="1:11" ht="12.75">
      <c r="A69" s="38" t="s">
        <v>568</v>
      </c>
      <c r="B69" s="38"/>
      <c r="C69" s="38"/>
      <c r="D69" s="40"/>
      <c r="E69" s="40"/>
      <c r="F69" s="40"/>
      <c r="G69" s="38"/>
      <c r="H69" s="37">
        <v>350</v>
      </c>
      <c r="I69" s="40"/>
      <c r="J69" s="40"/>
      <c r="K69" s="122"/>
    </row>
    <row r="70" spans="1:11" ht="12.75">
      <c r="A70" s="38" t="s">
        <v>377</v>
      </c>
      <c r="B70" s="38"/>
      <c r="C70" s="38"/>
      <c r="D70" s="40"/>
      <c r="E70" s="40"/>
      <c r="F70" s="40"/>
      <c r="G70" s="38"/>
      <c r="H70" s="37">
        <v>300</v>
      </c>
      <c r="I70" s="40"/>
      <c r="J70" s="40"/>
      <c r="K70" s="122"/>
    </row>
    <row r="71" spans="1:11" ht="12.75">
      <c r="A71" s="38"/>
      <c r="B71" s="38"/>
      <c r="C71" s="38"/>
      <c r="D71" s="40"/>
      <c r="E71" s="40"/>
      <c r="F71" s="40"/>
      <c r="G71" s="38"/>
      <c r="H71" s="37"/>
      <c r="I71" s="40"/>
      <c r="J71" s="40"/>
      <c r="K71" s="122"/>
    </row>
    <row r="72" spans="1:13" ht="15.75">
      <c r="A72" s="110" t="s">
        <v>121</v>
      </c>
      <c r="B72" s="110"/>
      <c r="C72" s="110"/>
      <c r="D72" s="110"/>
      <c r="E72" s="42"/>
      <c r="F72" s="42"/>
      <c r="G72" s="20"/>
      <c r="H72" s="27"/>
      <c r="I72" s="20"/>
      <c r="J72" s="20"/>
      <c r="K72" s="21">
        <f>H74+H75+H76+H77</f>
        <v>15885.44793</v>
      </c>
      <c r="M72" s="72">
        <f>51932.37/301083*O20</f>
        <v>3370.654586373193</v>
      </c>
    </row>
    <row r="73" spans="1:11" ht="12.75">
      <c r="A73" s="111" t="s">
        <v>122</v>
      </c>
      <c r="B73" s="111"/>
      <c r="C73" s="111"/>
      <c r="D73" s="111"/>
      <c r="E73" s="111"/>
      <c r="F73" s="111"/>
      <c r="G73" s="36"/>
      <c r="H73" s="37"/>
      <c r="I73" s="36"/>
      <c r="J73" s="36"/>
      <c r="K73" s="35"/>
    </row>
    <row r="74" spans="1:11" ht="12.75">
      <c r="A74" s="36" t="s">
        <v>669</v>
      </c>
      <c r="B74" s="36"/>
      <c r="C74" s="36"/>
      <c r="D74" s="36"/>
      <c r="E74" s="36"/>
      <c r="F74" s="36"/>
      <c r="G74" s="36"/>
      <c r="H74" s="37">
        <f>0.2227*O20</f>
        <v>4351.93659</v>
      </c>
      <c r="I74" s="36"/>
      <c r="J74" s="36"/>
      <c r="K74" s="35"/>
    </row>
    <row r="75" spans="1:11" ht="12.75">
      <c r="A75" s="30" t="s">
        <v>670</v>
      </c>
      <c r="B75" s="43"/>
      <c r="C75" s="30"/>
      <c r="D75" s="30"/>
      <c r="E75" s="44"/>
      <c r="F75" s="38"/>
      <c r="G75" s="38"/>
      <c r="H75" s="37">
        <f>0.0257*O20</f>
        <v>502.22169</v>
      </c>
      <c r="I75" s="38"/>
      <c r="J75" s="38"/>
      <c r="K75" s="35"/>
    </row>
    <row r="76" spans="1:11" ht="12.75">
      <c r="A76" s="111" t="s">
        <v>671</v>
      </c>
      <c r="B76" s="111"/>
      <c r="C76" s="111"/>
      <c r="D76" s="111"/>
      <c r="E76" s="111"/>
      <c r="F76" s="38"/>
      <c r="G76" s="38"/>
      <c r="H76" s="37">
        <f>0.0945*O20</f>
        <v>1846.69065</v>
      </c>
      <c r="I76" s="38"/>
      <c r="J76" s="38"/>
      <c r="K76" s="35"/>
    </row>
    <row r="77" spans="1:11" ht="12.75">
      <c r="A77" s="36" t="s">
        <v>672</v>
      </c>
      <c r="B77" s="36"/>
      <c r="C77" s="36"/>
      <c r="D77" s="36"/>
      <c r="E77" s="36"/>
      <c r="F77" s="38"/>
      <c r="G77" s="38"/>
      <c r="H77" s="37">
        <f>0.47*O20</f>
        <v>9184.599</v>
      </c>
      <c r="I77" s="38"/>
      <c r="J77" s="38"/>
      <c r="K77" s="45"/>
    </row>
    <row r="78" spans="1:11" ht="12.75">
      <c r="A78" s="30"/>
      <c r="B78" s="30"/>
      <c r="C78" s="30"/>
      <c r="D78" s="30"/>
      <c r="E78" s="30"/>
      <c r="F78" s="30"/>
      <c r="G78" s="30"/>
      <c r="H78" s="37"/>
      <c r="I78" s="38"/>
      <c r="J78" s="38"/>
      <c r="K78" s="35"/>
    </row>
    <row r="79" spans="1:13" ht="15.75">
      <c r="A79" s="26" t="s">
        <v>127</v>
      </c>
      <c r="B79" s="26"/>
      <c r="C79" s="26"/>
      <c r="D79" s="26"/>
      <c r="E79" s="26"/>
      <c r="F79" s="26"/>
      <c r="G79" s="26"/>
      <c r="H79" s="46"/>
      <c r="I79" s="20"/>
      <c r="J79" s="20"/>
      <c r="K79" s="21">
        <f>O20*0.94</f>
        <v>18369.198</v>
      </c>
      <c r="M79" s="71">
        <f>231179.9/309083*O20</f>
        <v>14616.294819935098</v>
      </c>
    </row>
    <row r="80" spans="1:11" ht="15.75">
      <c r="A80" s="47"/>
      <c r="B80" s="47"/>
      <c r="C80" s="112" t="s">
        <v>64</v>
      </c>
      <c r="D80" s="112"/>
      <c r="E80" s="47"/>
      <c r="F80" s="47"/>
      <c r="G80" s="47"/>
      <c r="H80" s="48"/>
      <c r="I80" s="47"/>
      <c r="J80" s="47"/>
      <c r="K80" s="49"/>
    </row>
    <row r="81" spans="1:11" ht="12.75">
      <c r="A81" s="30" t="s">
        <v>128</v>
      </c>
      <c r="B81" s="30"/>
      <c r="C81" s="30"/>
      <c r="D81" s="30"/>
      <c r="E81" s="30"/>
      <c r="F81" s="30"/>
      <c r="G81" s="30"/>
      <c r="H81" s="37"/>
      <c r="I81" s="38"/>
      <c r="J81" s="38"/>
      <c r="K81" s="35"/>
    </row>
    <row r="82" spans="1:11" ht="12.75">
      <c r="A82" s="30" t="s">
        <v>129</v>
      </c>
      <c r="B82" s="43"/>
      <c r="C82" s="30"/>
      <c r="D82" s="30"/>
      <c r="E82" s="30"/>
      <c r="F82" s="44"/>
      <c r="G82" s="44"/>
      <c r="H82" s="37"/>
      <c r="I82" s="38"/>
      <c r="J82" s="38"/>
      <c r="K82" s="35"/>
    </row>
    <row r="83" spans="1:11" ht="12.75">
      <c r="A83" s="108" t="s">
        <v>130</v>
      </c>
      <c r="B83" s="108"/>
      <c r="C83" s="108"/>
      <c r="D83" s="108"/>
      <c r="E83" s="108"/>
      <c r="F83" s="108"/>
      <c r="G83" s="44"/>
      <c r="H83" s="37"/>
      <c r="I83" s="38"/>
      <c r="J83" s="38"/>
      <c r="K83" s="35"/>
    </row>
    <row r="84" spans="1:11" ht="12.75">
      <c r="A84" s="108" t="s">
        <v>131</v>
      </c>
      <c r="B84" s="108"/>
      <c r="C84" s="108"/>
      <c r="D84" s="108"/>
      <c r="E84" s="108"/>
      <c r="F84" s="108"/>
      <c r="G84" s="108"/>
      <c r="H84" s="37"/>
      <c r="I84" s="38"/>
      <c r="J84" s="38"/>
      <c r="K84" s="35"/>
    </row>
    <row r="85" spans="1:11" ht="12.75">
      <c r="A85" s="108" t="s">
        <v>132</v>
      </c>
      <c r="B85" s="108"/>
      <c r="C85" s="108"/>
      <c r="D85" s="108"/>
      <c r="E85" s="109"/>
      <c r="F85" s="109"/>
      <c r="G85" s="109"/>
      <c r="H85" s="37"/>
      <c r="I85" s="38"/>
      <c r="J85" s="38"/>
      <c r="K85" s="35"/>
    </row>
    <row r="86" spans="1:11" ht="12.75">
      <c r="A86" s="108" t="s">
        <v>133</v>
      </c>
      <c r="B86" s="108"/>
      <c r="C86" s="108"/>
      <c r="D86" s="108"/>
      <c r="E86" s="108"/>
      <c r="F86" s="44"/>
      <c r="G86" s="44"/>
      <c r="H86" s="37"/>
      <c r="I86" s="38"/>
      <c r="J86" s="38"/>
      <c r="K86" s="35"/>
    </row>
    <row r="87" spans="1:14" ht="12.75">
      <c r="A87" s="44" t="s">
        <v>134</v>
      </c>
      <c r="B87" s="44"/>
      <c r="C87" s="44"/>
      <c r="D87" s="44"/>
      <c r="E87" s="44"/>
      <c r="F87" s="44"/>
      <c r="G87" s="44"/>
      <c r="H87" s="37"/>
      <c r="I87" s="38"/>
      <c r="J87" s="38"/>
      <c r="K87" s="35"/>
      <c r="N87" s="69">
        <f>K17+K32+K48+K56+K72+K79</f>
        <v>219196.14911471447</v>
      </c>
    </row>
    <row r="88" spans="1:11" ht="12.75">
      <c r="A88" s="22"/>
      <c r="B88" s="22"/>
      <c r="C88" s="22"/>
      <c r="D88" s="22"/>
      <c r="E88" s="22"/>
      <c r="F88" s="22"/>
      <c r="G88" s="22"/>
      <c r="H88" s="28"/>
      <c r="I88" s="22"/>
      <c r="J88" s="22"/>
      <c r="K88" s="29"/>
    </row>
    <row r="89" spans="1:13" ht="15.75">
      <c r="A89" s="20" t="s">
        <v>135</v>
      </c>
      <c r="B89" s="20"/>
      <c r="C89" s="20"/>
      <c r="D89" s="20"/>
      <c r="E89" s="20"/>
      <c r="F89" s="51"/>
      <c r="G89" s="51"/>
      <c r="H89" s="52"/>
      <c r="I89" s="51"/>
      <c r="J89" s="51"/>
      <c r="K89" s="21">
        <f>0.0205*O20</f>
        <v>400.60485000000006</v>
      </c>
      <c r="L89" s="72">
        <f>K89/309084*O20</f>
        <v>25.3280655007862</v>
      </c>
      <c r="M89" s="72">
        <f>L89/309084*P20</f>
        <v>0</v>
      </c>
    </row>
    <row r="90" spans="1:13" ht="15.75">
      <c r="A90" s="54"/>
      <c r="B90" s="54"/>
      <c r="C90" s="54"/>
      <c r="D90" s="54"/>
      <c r="E90" s="54"/>
      <c r="F90" s="53"/>
      <c r="G90" s="53"/>
      <c r="H90" s="55"/>
      <c r="I90" s="53"/>
      <c r="J90" s="53"/>
      <c r="K90" s="56"/>
      <c r="L90" s="72"/>
      <c r="M90" s="72"/>
    </row>
    <row r="91" spans="1:11" ht="15.75">
      <c r="A91" s="57" t="s">
        <v>673</v>
      </c>
      <c r="B91" s="57"/>
      <c r="C91" s="57"/>
      <c r="D91" s="58"/>
      <c r="E91" s="58"/>
      <c r="F91" s="58"/>
      <c r="G91" s="58"/>
      <c r="H91" s="59"/>
      <c r="I91" s="58"/>
      <c r="J91" s="58"/>
      <c r="K91" s="64">
        <f>K15*0.06</f>
        <v>13175.805237882867</v>
      </c>
    </row>
    <row r="92" spans="1:11" ht="15.75">
      <c r="A92" s="57"/>
      <c r="B92" s="57"/>
      <c r="C92" s="57"/>
      <c r="D92" s="58"/>
      <c r="E92" s="58"/>
      <c r="F92" s="58"/>
      <c r="G92" s="58"/>
      <c r="H92" s="59"/>
      <c r="I92" s="58"/>
      <c r="J92" s="58"/>
      <c r="K92" s="64"/>
    </row>
    <row r="93" spans="1:11" ht="15.75">
      <c r="A93" s="63" t="s">
        <v>137</v>
      </c>
      <c r="B93" s="63"/>
      <c r="C93" s="63"/>
      <c r="D93" s="63"/>
      <c r="E93" s="63"/>
      <c r="F93" s="63"/>
      <c r="G93" s="63"/>
      <c r="H93" s="63"/>
      <c r="I93" s="63"/>
      <c r="J93" s="63"/>
      <c r="K93" s="64">
        <f>K91+K15</f>
        <v>232772.55920259733</v>
      </c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 t="s">
        <v>138</v>
      </c>
      <c r="B95" s="63"/>
      <c r="C95" s="63"/>
      <c r="D95" s="63"/>
      <c r="E95" s="63"/>
      <c r="F95" s="63"/>
      <c r="G95" s="63"/>
      <c r="H95" s="63"/>
      <c r="I95" s="63"/>
      <c r="J95" s="63"/>
      <c r="K95" s="64">
        <f>K93/O20</f>
        <v>11.911581858415456</v>
      </c>
    </row>
    <row r="96" spans="1:11" ht="15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t="15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4"/>
    </row>
    <row r="98" spans="1:11" ht="15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4"/>
    </row>
    <row r="99" spans="1:11" ht="15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4"/>
    </row>
    <row r="100" spans="1:11" ht="15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4"/>
    </row>
    <row r="105" spans="3:9" s="65" customFormat="1" ht="15.75">
      <c r="C105" s="106" t="s">
        <v>139</v>
      </c>
      <c r="D105" s="107"/>
      <c r="E105" s="107"/>
      <c r="F105" s="107"/>
      <c r="G105" s="107"/>
      <c r="H105" s="107"/>
      <c r="I105" s="107"/>
    </row>
    <row r="106" spans="3:9" s="65" customFormat="1" ht="15.75">
      <c r="C106" s="74" t="s">
        <v>140</v>
      </c>
      <c r="D106" s="74" t="s">
        <v>141</v>
      </c>
      <c r="E106" s="74"/>
      <c r="F106" s="74"/>
      <c r="G106" s="75"/>
      <c r="H106" s="75"/>
      <c r="I106" s="75"/>
    </row>
    <row r="107" s="65" customFormat="1" ht="12.75"/>
    <row r="108" s="65" customFormat="1" ht="12.75">
      <c r="E108" s="65" t="s">
        <v>142</v>
      </c>
    </row>
    <row r="109" spans="5:8" s="65" customFormat="1" ht="12.75">
      <c r="E109" s="65" t="s">
        <v>143</v>
      </c>
      <c r="H109" s="65">
        <v>1200</v>
      </c>
    </row>
    <row r="110" spans="5:8" s="65" customFormat="1" ht="12.75">
      <c r="E110" s="65" t="s">
        <v>144</v>
      </c>
      <c r="H110" s="65">
        <v>1324</v>
      </c>
    </row>
    <row r="111" spans="5:8" s="65" customFormat="1" ht="12.75">
      <c r="E111" s="65" t="s">
        <v>145</v>
      </c>
      <c r="H111" s="65">
        <v>332</v>
      </c>
    </row>
    <row r="112" spans="5:8" s="65" customFormat="1" ht="12.75">
      <c r="E112" s="65" t="s">
        <v>146</v>
      </c>
      <c r="H112" s="65">
        <v>5351.8</v>
      </c>
    </row>
    <row r="113" s="65" customFormat="1" ht="12.75"/>
    <row r="114" spans="1:11" s="65" customFormat="1" ht="15.75">
      <c r="A114" s="105" t="s">
        <v>72</v>
      </c>
      <c r="B114" s="105"/>
      <c r="C114" s="105"/>
      <c r="D114" s="105"/>
      <c r="E114" s="105"/>
      <c r="F114" s="105"/>
      <c r="G114" s="105"/>
      <c r="H114" s="76" t="e">
        <f>H116+H118+H120+H122+H124+H126+H128</f>
        <v>#REF!</v>
      </c>
      <c r="I114" s="77" t="s">
        <v>70</v>
      </c>
      <c r="K114" s="78" t="e">
        <f>H114-20000</f>
        <v>#REF!</v>
      </c>
    </row>
    <row r="115" spans="1:7" s="65" customFormat="1" ht="12.75">
      <c r="A115" s="79"/>
      <c r="B115" s="79"/>
      <c r="C115" s="79"/>
      <c r="D115" s="79"/>
      <c r="E115" s="79"/>
      <c r="F115" s="79"/>
      <c r="G115" s="79"/>
    </row>
    <row r="116" spans="1:8" s="65" customFormat="1" ht="15.75">
      <c r="A116" s="80" t="s">
        <v>147</v>
      </c>
      <c r="B116" s="80"/>
      <c r="C116" s="80"/>
      <c r="D116" s="80"/>
      <c r="E116" s="80"/>
      <c r="F116" s="80"/>
      <c r="G116" s="80"/>
      <c r="H116" s="78">
        <f>K17</f>
        <v>39758.50517908617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78"/>
    </row>
    <row r="118" spans="1:8" s="65" customFormat="1" ht="15.75">
      <c r="A118" s="105" t="s">
        <v>95</v>
      </c>
      <c r="B118" s="105"/>
      <c r="C118" s="105"/>
      <c r="D118" s="105"/>
      <c r="E118" s="105"/>
      <c r="F118" s="80"/>
      <c r="G118" s="80"/>
      <c r="H118" s="78">
        <f>K32</f>
        <v>40138.60229555555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78"/>
    </row>
    <row r="120" spans="1:8" s="65" customFormat="1" ht="15.75">
      <c r="A120" s="105" t="s">
        <v>148</v>
      </c>
      <c r="B120" s="105"/>
      <c r="C120" s="105"/>
      <c r="D120" s="105"/>
      <c r="E120" s="105"/>
      <c r="F120" s="105"/>
      <c r="G120" s="105"/>
      <c r="H120" s="81" t="e">
        <f>#REF!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111</v>
      </c>
      <c r="B122" s="80"/>
      <c r="C122" s="80"/>
      <c r="D122" s="80"/>
      <c r="E122" s="80"/>
      <c r="F122" s="80"/>
      <c r="G122" s="80"/>
      <c r="H122" s="82">
        <f>M56</f>
        <v>3904.6203035095127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105" t="s">
        <v>149</v>
      </c>
      <c r="B124" s="105"/>
      <c r="C124" s="105"/>
      <c r="D124" s="105"/>
      <c r="E124" s="80"/>
      <c r="F124" s="80"/>
      <c r="G124" s="80"/>
      <c r="H124" s="81">
        <f>M72</f>
        <v>3370.654586373193</v>
      </c>
    </row>
    <row r="125" spans="1:8" s="65" customFormat="1" ht="12.75">
      <c r="A125" s="79"/>
      <c r="B125" s="79"/>
      <c r="C125" s="79"/>
      <c r="D125" s="79"/>
      <c r="E125" s="79"/>
      <c r="F125" s="79"/>
      <c r="G125" s="79"/>
      <c r="H125" s="82"/>
    </row>
    <row r="126" spans="1:8" s="65" customFormat="1" ht="15.75">
      <c r="A126" s="83" t="s">
        <v>127</v>
      </c>
      <c r="B126" s="83"/>
      <c r="C126" s="83"/>
      <c r="D126" s="83"/>
      <c r="E126" s="83"/>
      <c r="F126" s="83"/>
      <c r="G126" s="83"/>
      <c r="H126" s="81">
        <f>M79</f>
        <v>14616.294819935098</v>
      </c>
    </row>
    <row r="127" spans="1:8" s="65" customFormat="1" ht="12.75">
      <c r="A127" s="79"/>
      <c r="B127" s="79"/>
      <c r="C127" s="79"/>
      <c r="D127" s="79"/>
      <c r="E127" s="79"/>
      <c r="F127" s="79"/>
      <c r="G127" s="79"/>
      <c r="H127" s="82"/>
    </row>
    <row r="128" spans="1:8" s="65" customFormat="1" ht="15.75">
      <c r="A128" s="80" t="s">
        <v>150</v>
      </c>
      <c r="B128" s="80"/>
      <c r="C128" s="80"/>
      <c r="D128" s="80"/>
      <c r="E128" s="80"/>
      <c r="F128" s="84"/>
      <c r="G128" s="84"/>
      <c r="H128" s="81">
        <f>L89</f>
        <v>25.3280655007862</v>
      </c>
    </row>
    <row r="129" s="65" customFormat="1" ht="12.75"/>
    <row r="130" s="65" customFormat="1" ht="12.75"/>
    <row r="131" s="65" customFormat="1" ht="12.75">
      <c r="H131" s="65" t="s">
        <v>151</v>
      </c>
    </row>
    <row r="132" s="65" customFormat="1" ht="12.75">
      <c r="H132" s="65" t="s">
        <v>146</v>
      </c>
    </row>
    <row r="133" s="65" customFormat="1" ht="12.75">
      <c r="H133" s="65" t="s">
        <v>152</v>
      </c>
    </row>
    <row r="134" s="65" customFormat="1" ht="12.75"/>
    <row r="135" s="65" customFormat="1" ht="12.75"/>
    <row r="136" s="65" customFormat="1" ht="12.75">
      <c r="F136" s="65" t="s">
        <v>153</v>
      </c>
    </row>
    <row r="137" s="65" customFormat="1" ht="12.75">
      <c r="D137" s="65" t="s">
        <v>154</v>
      </c>
    </row>
    <row r="138" s="65" customFormat="1" ht="12.75">
      <c r="D138" s="65" t="s">
        <v>155</v>
      </c>
    </row>
    <row r="139" spans="6:13" s="65" customFormat="1" ht="12.75">
      <c r="F139" s="65" t="s">
        <v>156</v>
      </c>
      <c r="M139" s="65" t="s">
        <v>157</v>
      </c>
    </row>
    <row r="140" s="65" customFormat="1" ht="12.75">
      <c r="M140" s="65" t="s">
        <v>158</v>
      </c>
    </row>
    <row r="141" spans="1:13" s="65" customFormat="1" ht="12.75">
      <c r="A141" s="65" t="s">
        <v>159</v>
      </c>
      <c r="B141" s="65" t="s">
        <v>160</v>
      </c>
      <c r="D141" s="65" t="s">
        <v>161</v>
      </c>
      <c r="F141" s="65" t="s">
        <v>162</v>
      </c>
      <c r="G141" s="65" t="s">
        <v>163</v>
      </c>
      <c r="H141" s="65" t="s">
        <v>164</v>
      </c>
      <c r="J141" s="65" t="s">
        <v>165</v>
      </c>
      <c r="M141" s="73" t="s">
        <v>166</v>
      </c>
    </row>
    <row r="142" spans="1:14" s="65" customFormat="1" ht="12.75">
      <c r="A142" s="65" t="s">
        <v>167</v>
      </c>
      <c r="B142" s="65" t="s">
        <v>168</v>
      </c>
      <c r="D142" s="65" t="s">
        <v>169</v>
      </c>
      <c r="F142" s="65" t="s">
        <v>170</v>
      </c>
      <c r="G142" s="65" t="s">
        <v>171</v>
      </c>
      <c r="H142" s="65" t="s">
        <v>172</v>
      </c>
      <c r="J142" s="65" t="s">
        <v>173</v>
      </c>
      <c r="M142" s="65" t="s">
        <v>174</v>
      </c>
      <c r="N142" s="65">
        <v>21019.3</v>
      </c>
    </row>
    <row r="143" spans="8:9" s="65" customFormat="1" ht="12.75">
      <c r="H143" s="65" t="s">
        <v>175</v>
      </c>
      <c r="I143" s="65" t="s">
        <v>176</v>
      </c>
    </row>
    <row r="144" spans="8:13" s="65" customFormat="1" ht="12.75">
      <c r="H144" s="65" t="s">
        <v>170</v>
      </c>
      <c r="I144" s="65" t="s">
        <v>177</v>
      </c>
      <c r="M144" s="65" t="s">
        <v>178</v>
      </c>
    </row>
    <row r="145" spans="9:13" s="65" customFormat="1" ht="12.75">
      <c r="I145" s="65" t="s">
        <v>179</v>
      </c>
      <c r="M145" s="65" t="s">
        <v>158</v>
      </c>
    </row>
    <row r="146" s="65" customFormat="1" ht="12.75">
      <c r="M146" s="73" t="s">
        <v>166</v>
      </c>
    </row>
    <row r="147" spans="1:14" s="65" customFormat="1" ht="12.75">
      <c r="A147" s="65" t="s">
        <v>180</v>
      </c>
      <c r="B147" s="65" t="s">
        <v>181</v>
      </c>
      <c r="D147" s="65" t="s">
        <v>182</v>
      </c>
      <c r="M147" s="65" t="s">
        <v>174</v>
      </c>
      <c r="N147" s="65">
        <v>3000</v>
      </c>
    </row>
    <row r="148" spans="2:4" s="65" customFormat="1" ht="12.75">
      <c r="B148" s="65" t="s">
        <v>183</v>
      </c>
      <c r="D148" s="65" t="s">
        <v>184</v>
      </c>
    </row>
    <row r="149" spans="2:13" s="65" customFormat="1" ht="12.75">
      <c r="B149" s="65" t="s">
        <v>185</v>
      </c>
      <c r="D149" s="65" t="s">
        <v>186</v>
      </c>
      <c r="M149" s="65" t="s">
        <v>187</v>
      </c>
    </row>
    <row r="150" spans="2:13" s="65" customFormat="1" ht="12.75">
      <c r="B150" s="65" t="s">
        <v>188</v>
      </c>
      <c r="D150" s="65" t="s">
        <v>189</v>
      </c>
      <c r="M150" s="65" t="s">
        <v>158</v>
      </c>
    </row>
    <row r="151" spans="2:13" s="65" customFormat="1" ht="12.75">
      <c r="B151" s="65" t="s">
        <v>190</v>
      </c>
      <c r="M151" s="73" t="s">
        <v>166</v>
      </c>
    </row>
    <row r="152" spans="4:14" s="65" customFormat="1" ht="12.75">
      <c r="D152" s="65" t="s">
        <v>191</v>
      </c>
      <c r="M152" s="65" t="s">
        <v>174</v>
      </c>
      <c r="N152" s="65">
        <v>2400</v>
      </c>
    </row>
    <row r="153" spans="4:6" s="65" customFormat="1" ht="12.75">
      <c r="D153" s="65" t="s">
        <v>192</v>
      </c>
      <c r="F153" s="65" t="s">
        <v>193</v>
      </c>
    </row>
    <row r="154" spans="4:13" s="65" customFormat="1" ht="12.75">
      <c r="D154" s="65" t="s">
        <v>158</v>
      </c>
      <c r="F154" s="65" t="s">
        <v>194</v>
      </c>
      <c r="H154" s="65">
        <v>0.0687</v>
      </c>
      <c r="I154" s="65">
        <v>0</v>
      </c>
      <c r="K154" s="65">
        <f>N145/1000*H154</f>
        <v>0</v>
      </c>
      <c r="M154" s="65" t="s">
        <v>195</v>
      </c>
    </row>
    <row r="155" spans="4:13" s="65" customFormat="1" ht="12.75">
      <c r="D155" s="65" t="s">
        <v>196</v>
      </c>
      <c r="F155" s="65" t="s">
        <v>197</v>
      </c>
      <c r="H155" s="65">
        <v>0.0763</v>
      </c>
      <c r="I155" s="65">
        <v>0</v>
      </c>
      <c r="K155" s="65">
        <f>N146/1000*H155</f>
        <v>0</v>
      </c>
      <c r="M155" s="65" t="s">
        <v>158</v>
      </c>
    </row>
    <row r="156" spans="4:13" s="65" customFormat="1" ht="12.75">
      <c r="D156" s="65" t="s">
        <v>198</v>
      </c>
      <c r="F156" s="65" t="s">
        <v>199</v>
      </c>
      <c r="H156" s="65">
        <v>0.0839</v>
      </c>
      <c r="I156" s="65">
        <v>0</v>
      </c>
      <c r="K156" s="69">
        <f>N147/1000*H156</f>
        <v>0.25170000000000003</v>
      </c>
      <c r="M156" s="73" t="s">
        <v>166</v>
      </c>
    </row>
    <row r="157" spans="6:13" s="65" customFormat="1" ht="12.75">
      <c r="F157" s="65" t="s">
        <v>200</v>
      </c>
      <c r="M157" s="65" t="s">
        <v>174</v>
      </c>
    </row>
    <row r="158" s="65" customFormat="1" ht="12.75">
      <c r="F158" s="65" t="s">
        <v>190</v>
      </c>
    </row>
    <row r="159" spans="5:9" s="65" customFormat="1" ht="12.75">
      <c r="E159" s="65" t="s">
        <v>201</v>
      </c>
      <c r="I159" s="65">
        <v>0</v>
      </c>
    </row>
    <row r="160" spans="2:4" s="65" customFormat="1" ht="12.75">
      <c r="B160" s="65" t="s">
        <v>202</v>
      </c>
      <c r="D160" s="65" t="s">
        <v>203</v>
      </c>
    </row>
    <row r="161" s="65" customFormat="1" ht="12.75">
      <c r="D161" s="65" t="s">
        <v>204</v>
      </c>
    </row>
    <row r="162" s="65" customFormat="1" ht="12.75">
      <c r="D162" s="65" t="s">
        <v>205</v>
      </c>
    </row>
    <row r="163" s="65" customFormat="1" ht="12.75">
      <c r="D163" s="65" t="s">
        <v>191</v>
      </c>
    </row>
    <row r="164" spans="4:11" s="65" customFormat="1" ht="12.75">
      <c r="D164" s="65" t="s">
        <v>158</v>
      </c>
      <c r="H164" s="65">
        <v>0.00338</v>
      </c>
      <c r="K164" s="69">
        <f>N168/1000*H164</f>
        <v>0</v>
      </c>
    </row>
    <row r="165" spans="4:11" s="65" customFormat="1" ht="12.75">
      <c r="D165" s="65" t="s">
        <v>196</v>
      </c>
      <c r="H165" s="65">
        <v>0.00376</v>
      </c>
      <c r="K165" s="69">
        <f>N169/1000*H165</f>
        <v>0</v>
      </c>
    </row>
    <row r="166" spans="4:11" s="65" customFormat="1" ht="12.75">
      <c r="D166" s="65" t="s">
        <v>198</v>
      </c>
      <c r="H166" s="65">
        <v>0.00414</v>
      </c>
      <c r="K166" s="69">
        <f>N170/1000*H166</f>
        <v>0.08701990199999998</v>
      </c>
    </row>
    <row r="167" s="65" customFormat="1" ht="12.75">
      <c r="M167" s="65" t="s">
        <v>206</v>
      </c>
    </row>
    <row r="168" spans="1:13" s="65" customFormat="1" ht="12.75">
      <c r="A168" s="65" t="s">
        <v>207</v>
      </c>
      <c r="B168" s="65" t="s">
        <v>208</v>
      </c>
      <c r="D168" s="65" t="s">
        <v>203</v>
      </c>
      <c r="M168" s="65" t="s">
        <v>158</v>
      </c>
    </row>
    <row r="169" spans="4:13" s="65" customFormat="1" ht="12.75">
      <c r="D169" s="65" t="s">
        <v>209</v>
      </c>
      <c r="M169" s="73" t="s">
        <v>166</v>
      </c>
    </row>
    <row r="170" spans="4:14" s="65" customFormat="1" ht="12.75">
      <c r="D170" s="65" t="s">
        <v>191</v>
      </c>
      <c r="M170" s="65" t="s">
        <v>174</v>
      </c>
      <c r="N170" s="65">
        <v>21019.3</v>
      </c>
    </row>
    <row r="171" spans="4:11" s="65" customFormat="1" ht="12.75">
      <c r="D171" s="65" t="s">
        <v>158</v>
      </c>
      <c r="H171" s="65">
        <v>0.02043</v>
      </c>
      <c r="I171" s="65">
        <v>0</v>
      </c>
      <c r="K171" s="65">
        <f>N155/1000*H171</f>
        <v>0</v>
      </c>
    </row>
    <row r="172" spans="4:13" s="65" customFormat="1" ht="12.75">
      <c r="D172" s="65" t="s">
        <v>196</v>
      </c>
      <c r="H172" s="65">
        <v>0.0227</v>
      </c>
      <c r="I172" s="65">
        <v>0</v>
      </c>
      <c r="K172" s="65">
        <f>N156/1000*H172</f>
        <v>0</v>
      </c>
      <c r="M172" s="65" t="s">
        <v>210</v>
      </c>
    </row>
    <row r="173" spans="4:13" s="65" customFormat="1" ht="12.75">
      <c r="D173" s="65" t="s">
        <v>198</v>
      </c>
      <c r="H173" s="65">
        <v>0.02497</v>
      </c>
      <c r="I173" s="65">
        <v>0</v>
      </c>
      <c r="K173" s="65">
        <f>N157/1000*H173</f>
        <v>0</v>
      </c>
      <c r="M173" s="65" t="s">
        <v>158</v>
      </c>
    </row>
    <row r="174" spans="4:13" s="65" customFormat="1" ht="12.75">
      <c r="D174" s="65" t="s">
        <v>211</v>
      </c>
      <c r="M174" s="73" t="s">
        <v>166</v>
      </c>
    </row>
    <row r="175" spans="4:14" s="65" customFormat="1" ht="12.75">
      <c r="D175" s="65" t="s">
        <v>191</v>
      </c>
      <c r="M175" s="65" t="s">
        <v>174</v>
      </c>
      <c r="N175" s="65">
        <v>394</v>
      </c>
    </row>
    <row r="176" spans="4:6" s="65" customFormat="1" ht="12.75">
      <c r="D176" s="65" t="s">
        <v>192</v>
      </c>
      <c r="F176" s="65" t="s">
        <v>193</v>
      </c>
    </row>
    <row r="177" spans="4:11" s="65" customFormat="1" ht="12.75">
      <c r="D177" s="65" t="s">
        <v>158</v>
      </c>
      <c r="H177" s="65">
        <v>0.00999</v>
      </c>
      <c r="K177" s="69">
        <f>N140/1000*H177</f>
        <v>0</v>
      </c>
    </row>
    <row r="178" spans="4:11" s="65" customFormat="1" ht="12.75">
      <c r="D178" s="65" t="s">
        <v>196</v>
      </c>
      <c r="H178" s="65">
        <v>0.0111</v>
      </c>
      <c r="K178" s="69">
        <f>N141/1000*H178</f>
        <v>0</v>
      </c>
    </row>
    <row r="179" spans="4:11" s="65" customFormat="1" ht="12.75">
      <c r="D179" s="65" t="s">
        <v>198</v>
      </c>
      <c r="H179" s="65">
        <v>0.01221</v>
      </c>
      <c r="I179" s="65">
        <v>0</v>
      </c>
      <c r="K179" s="69">
        <f>N142/1000*H179</f>
        <v>0.256645653</v>
      </c>
    </row>
    <row r="180" s="65" customFormat="1" ht="12.75">
      <c r="I180" s="65">
        <v>0</v>
      </c>
    </row>
    <row r="181" spans="5:9" s="65" customFormat="1" ht="12.75">
      <c r="E181" s="65" t="s">
        <v>201</v>
      </c>
      <c r="G181" s="65">
        <v>0</v>
      </c>
      <c r="I181" s="65">
        <v>0</v>
      </c>
    </row>
    <row r="182" spans="1:6" s="65" customFormat="1" ht="12.75">
      <c r="A182" s="65" t="s">
        <v>212</v>
      </c>
      <c r="B182" s="65" t="s">
        <v>213</v>
      </c>
      <c r="D182" s="65" t="s">
        <v>203</v>
      </c>
      <c r="F182" s="65" t="s">
        <v>193</v>
      </c>
    </row>
    <row r="183" spans="2:6" s="65" customFormat="1" ht="12.75">
      <c r="B183" s="65" t="s">
        <v>214</v>
      </c>
      <c r="D183" s="65" t="s">
        <v>209</v>
      </c>
      <c r="F183" s="65" t="s">
        <v>215</v>
      </c>
    </row>
    <row r="184" spans="4:6" s="65" customFormat="1" ht="12.75">
      <c r="D184" s="65" t="s">
        <v>191</v>
      </c>
      <c r="F184" s="65" t="s">
        <v>216</v>
      </c>
    </row>
    <row r="185" spans="4:11" s="65" customFormat="1" ht="12.75">
      <c r="D185" s="65" t="s">
        <v>158</v>
      </c>
      <c r="H185" s="65">
        <v>0.018432</v>
      </c>
      <c r="I185" s="65">
        <v>0</v>
      </c>
      <c r="K185" s="65">
        <f>N155/1000*H185</f>
        <v>0</v>
      </c>
    </row>
    <row r="186" spans="4:11" s="65" customFormat="1" ht="12.75">
      <c r="D186" s="65" t="s">
        <v>196</v>
      </c>
      <c r="H186" s="65">
        <v>0.02048</v>
      </c>
      <c r="I186" s="65">
        <v>0</v>
      </c>
      <c r="K186" s="65">
        <f>N156/1000*H186</f>
        <v>0</v>
      </c>
    </row>
    <row r="187" spans="4:11" s="65" customFormat="1" ht="12.75">
      <c r="D187" s="65" t="s">
        <v>198</v>
      </c>
      <c r="K187" s="65">
        <f>N157/1000*H187</f>
        <v>0</v>
      </c>
    </row>
    <row r="188" s="65" customFormat="1" ht="12.75">
      <c r="D188" s="65" t="s">
        <v>211</v>
      </c>
    </row>
    <row r="189" s="65" customFormat="1" ht="12.75">
      <c r="D189" s="65" t="s">
        <v>191</v>
      </c>
    </row>
    <row r="190" s="65" customFormat="1" ht="12.75">
      <c r="D190" s="65" t="s">
        <v>192</v>
      </c>
    </row>
    <row r="191" spans="4:11" s="65" customFormat="1" ht="12.75">
      <c r="D191" s="65" t="s">
        <v>158</v>
      </c>
      <c r="K191" s="69">
        <f>N140/1000*H191</f>
        <v>0</v>
      </c>
    </row>
    <row r="192" spans="4:11" s="65" customFormat="1" ht="12.75">
      <c r="D192" s="65" t="s">
        <v>196</v>
      </c>
      <c r="H192" s="65">
        <v>0.02295</v>
      </c>
      <c r="I192" s="65">
        <v>0</v>
      </c>
      <c r="K192" s="69">
        <f>N141/1000*H192</f>
        <v>0</v>
      </c>
    </row>
    <row r="193" spans="4:11" s="65" customFormat="1" ht="12.75">
      <c r="D193" s="65" t="s">
        <v>198</v>
      </c>
      <c r="H193" s="65">
        <v>0.025245</v>
      </c>
      <c r="I193" s="65">
        <v>0</v>
      </c>
      <c r="K193" s="69">
        <f>N142/1000*H193</f>
        <v>0.5306322284999999</v>
      </c>
    </row>
    <row r="194" spans="5:11" s="65" customFormat="1" ht="12.75">
      <c r="E194" s="65" t="s">
        <v>201</v>
      </c>
      <c r="G194" s="65">
        <v>0</v>
      </c>
      <c r="I194" s="65">
        <v>0</v>
      </c>
      <c r="K194" s="69"/>
    </row>
    <row r="195" s="65" customFormat="1" ht="12.75">
      <c r="K195" s="69"/>
    </row>
    <row r="196" spans="1:11" s="65" customFormat="1" ht="12.75">
      <c r="A196" s="65" t="s">
        <v>217</v>
      </c>
      <c r="B196" s="65" t="s">
        <v>218</v>
      </c>
      <c r="D196" s="65" t="s">
        <v>203</v>
      </c>
      <c r="K196" s="69"/>
    </row>
    <row r="197" spans="4:11" s="65" customFormat="1" ht="12.75">
      <c r="D197" s="65" t="s">
        <v>209</v>
      </c>
      <c r="K197" s="69"/>
    </row>
    <row r="198" spans="4:11" s="65" customFormat="1" ht="12.75">
      <c r="D198" s="65" t="s">
        <v>191</v>
      </c>
      <c r="K198" s="69"/>
    </row>
    <row r="199" spans="4:11" s="65" customFormat="1" ht="12.75">
      <c r="D199" s="65" t="s">
        <v>158</v>
      </c>
      <c r="H199" s="65">
        <v>0.027585</v>
      </c>
      <c r="I199" s="65">
        <v>0</v>
      </c>
      <c r="K199" s="69">
        <f>N155/1000*H199</f>
        <v>0</v>
      </c>
    </row>
    <row r="200" spans="4:11" s="65" customFormat="1" ht="12.75">
      <c r="D200" s="65" t="s">
        <v>196</v>
      </c>
      <c r="H200" s="65">
        <v>0.03065</v>
      </c>
      <c r="I200" s="65">
        <v>0</v>
      </c>
      <c r="K200" s="69">
        <f>N156/1000*H200</f>
        <v>0</v>
      </c>
    </row>
    <row r="201" spans="4:11" s="65" customFormat="1" ht="12.75">
      <c r="D201" s="65" t="s">
        <v>198</v>
      </c>
      <c r="K201" s="69">
        <f>N157/1000*H201</f>
        <v>0</v>
      </c>
    </row>
    <row r="202" spans="4:11" s="65" customFormat="1" ht="12.75">
      <c r="D202" s="65" t="s">
        <v>211</v>
      </c>
      <c r="K202" s="69"/>
    </row>
    <row r="203" spans="4:11" s="65" customFormat="1" ht="12.75">
      <c r="D203" s="65" t="s">
        <v>191</v>
      </c>
      <c r="K203" s="69"/>
    </row>
    <row r="204" spans="4:11" s="65" customFormat="1" ht="12.75">
      <c r="D204" s="65" t="s">
        <v>192</v>
      </c>
      <c r="K204" s="69"/>
    </row>
    <row r="205" spans="4:11" s="65" customFormat="1" ht="12.75">
      <c r="D205" s="65" t="s">
        <v>158</v>
      </c>
      <c r="K205" s="69">
        <f>N140/1000*H205</f>
        <v>0</v>
      </c>
    </row>
    <row r="206" spans="4:11" s="65" customFormat="1" ht="12.75">
      <c r="D206" s="65" t="s">
        <v>196</v>
      </c>
      <c r="H206" s="65">
        <v>0.00539</v>
      </c>
      <c r="I206" s="65">
        <v>0</v>
      </c>
      <c r="K206" s="69">
        <f>N141/1000*H206</f>
        <v>0</v>
      </c>
    </row>
    <row r="207" spans="4:11" s="65" customFormat="1" ht="12.75">
      <c r="D207" s="65" t="s">
        <v>198</v>
      </c>
      <c r="H207" s="65">
        <v>0.005929</v>
      </c>
      <c r="I207" s="65">
        <v>0</v>
      </c>
      <c r="K207" s="69">
        <f>N142/1000*H207</f>
        <v>0.1246234297</v>
      </c>
    </row>
    <row r="208" spans="5:11" s="65" customFormat="1" ht="12.75">
      <c r="E208" s="65" t="s">
        <v>201</v>
      </c>
      <c r="G208" s="65">
        <v>0</v>
      </c>
      <c r="I208" s="65">
        <v>0</v>
      </c>
      <c r="K208" s="69"/>
    </row>
    <row r="209" s="65" customFormat="1" ht="12.75">
      <c r="K209" s="69"/>
    </row>
    <row r="210" spans="1:11" s="65" customFormat="1" ht="12.75">
      <c r="A210" s="65" t="s">
        <v>219</v>
      </c>
      <c r="B210" s="65" t="s">
        <v>220</v>
      </c>
      <c r="D210" s="65" t="s">
        <v>203</v>
      </c>
      <c r="K210" s="69"/>
    </row>
    <row r="211" spans="2:11" s="65" customFormat="1" ht="12.75">
      <c r="B211" s="65" t="s">
        <v>214</v>
      </c>
      <c r="D211" s="65" t="s">
        <v>209</v>
      </c>
      <c r="K211" s="69"/>
    </row>
    <row r="212" spans="4:11" s="65" customFormat="1" ht="12.75">
      <c r="D212" s="65" t="s">
        <v>191</v>
      </c>
      <c r="K212" s="69"/>
    </row>
    <row r="213" spans="4:11" s="65" customFormat="1" ht="12.75">
      <c r="D213" s="65" t="s">
        <v>158</v>
      </c>
      <c r="H213" s="65">
        <v>0.022437</v>
      </c>
      <c r="I213" s="65">
        <v>0</v>
      </c>
      <c r="K213" s="69">
        <f>N155/1000*H213</f>
        <v>0</v>
      </c>
    </row>
    <row r="214" spans="4:11" s="65" customFormat="1" ht="12.75">
      <c r="D214" s="65" t="s">
        <v>196</v>
      </c>
      <c r="H214" s="65">
        <v>0.02493</v>
      </c>
      <c r="I214" s="65">
        <v>0</v>
      </c>
      <c r="K214" s="69">
        <f>N156/1000*H214</f>
        <v>0</v>
      </c>
    </row>
    <row r="215" spans="4:11" s="65" customFormat="1" ht="12.75">
      <c r="D215" s="65" t="s">
        <v>198</v>
      </c>
      <c r="K215" s="65">
        <f>N157/1000*H215</f>
        <v>0</v>
      </c>
    </row>
    <row r="216" s="65" customFormat="1" ht="12.75">
      <c r="D216" s="65" t="s">
        <v>211</v>
      </c>
    </row>
    <row r="217" s="65" customFormat="1" ht="12.75">
      <c r="D217" s="65" t="s">
        <v>191</v>
      </c>
    </row>
    <row r="218" s="65" customFormat="1" ht="12.75">
      <c r="D218" s="65" t="s">
        <v>192</v>
      </c>
    </row>
    <row r="219" spans="4:11" s="65" customFormat="1" ht="12.75">
      <c r="D219" s="65" t="s">
        <v>158</v>
      </c>
      <c r="K219" s="69">
        <f>N140/1000*H219</f>
        <v>0</v>
      </c>
    </row>
    <row r="220" spans="4:11" s="65" customFormat="1" ht="12.75">
      <c r="D220" s="65" t="s">
        <v>196</v>
      </c>
      <c r="H220" s="65">
        <v>0.00888</v>
      </c>
      <c r="I220" s="65">
        <v>0</v>
      </c>
      <c r="K220" s="69">
        <f>N141/1000*H220</f>
        <v>0</v>
      </c>
    </row>
    <row r="221" spans="4:11" s="65" customFormat="1" ht="12.75">
      <c r="D221" s="65" t="s">
        <v>198</v>
      </c>
      <c r="H221" s="65">
        <v>0.009768</v>
      </c>
      <c r="I221" s="65">
        <v>0</v>
      </c>
      <c r="K221" s="69">
        <f>N142/1000*H221</f>
        <v>0.20531652239999998</v>
      </c>
    </row>
    <row r="222" spans="5:11" s="65" customFormat="1" ht="12.75">
      <c r="E222" s="65" t="s">
        <v>201</v>
      </c>
      <c r="G222" s="65">
        <v>0</v>
      </c>
      <c r="I222" s="65">
        <v>0</v>
      </c>
      <c r="K222" s="69"/>
    </row>
    <row r="223" s="65" customFormat="1" ht="12.75">
      <c r="K223" s="69"/>
    </row>
    <row r="224" spans="2:4" s="65" customFormat="1" ht="12.75">
      <c r="B224" s="65" t="s">
        <v>221</v>
      </c>
      <c r="D224" s="65" t="s">
        <v>203</v>
      </c>
    </row>
    <row r="225" s="65" customFormat="1" ht="12.75">
      <c r="D225" s="65" t="s">
        <v>204</v>
      </c>
    </row>
    <row r="226" s="65" customFormat="1" ht="12.75">
      <c r="D226" s="65" t="s">
        <v>205</v>
      </c>
    </row>
    <row r="227" s="65" customFormat="1" ht="12.75">
      <c r="D227" s="65" t="s">
        <v>191</v>
      </c>
    </row>
    <row r="228" spans="4:11" s="65" customFormat="1" ht="12.75">
      <c r="D228" s="65" t="s">
        <v>158</v>
      </c>
      <c r="H228" s="65">
        <v>0.0243</v>
      </c>
      <c r="K228" s="69">
        <f>N168/1000*H228</f>
        <v>0</v>
      </c>
    </row>
    <row r="229" spans="4:11" s="65" customFormat="1" ht="12.75">
      <c r="D229" s="65" t="s">
        <v>196</v>
      </c>
      <c r="H229" s="65">
        <v>0.027</v>
      </c>
      <c r="K229" s="69">
        <f>N169/1000*H229</f>
        <v>0</v>
      </c>
    </row>
    <row r="230" spans="4:11" s="65" customFormat="1" ht="12.75">
      <c r="D230" s="65" t="s">
        <v>198</v>
      </c>
      <c r="H230" s="65">
        <v>0.0297</v>
      </c>
      <c r="K230" s="69">
        <f>N170/1000*H230</f>
        <v>0.6242732099999999</v>
      </c>
    </row>
    <row r="231" spans="1:11" s="65" customFormat="1" ht="12.75">
      <c r="A231" s="65" t="s">
        <v>222</v>
      </c>
      <c r="B231" s="65" t="s">
        <v>223</v>
      </c>
      <c r="D231" s="65" t="s">
        <v>203</v>
      </c>
      <c r="K231" s="69"/>
    </row>
    <row r="232" spans="4:11" s="65" customFormat="1" ht="12.75">
      <c r="D232" s="65" t="s">
        <v>209</v>
      </c>
      <c r="K232" s="69"/>
    </row>
    <row r="233" spans="4:11" s="65" customFormat="1" ht="12.75">
      <c r="D233" s="65" t="s">
        <v>191</v>
      </c>
      <c r="K233" s="69"/>
    </row>
    <row r="234" spans="4:11" s="65" customFormat="1" ht="12.75">
      <c r="D234" s="65" t="s">
        <v>158</v>
      </c>
      <c r="H234" s="65">
        <v>0.01773</v>
      </c>
      <c r="I234" s="65">
        <v>0</v>
      </c>
      <c r="K234" s="69">
        <f>N155/1000*H234</f>
        <v>0</v>
      </c>
    </row>
    <row r="235" spans="4:11" s="65" customFormat="1" ht="12.75">
      <c r="D235" s="65" t="s">
        <v>196</v>
      </c>
      <c r="H235" s="65">
        <v>0.0197</v>
      </c>
      <c r="I235" s="65">
        <v>0</v>
      </c>
      <c r="K235" s="69">
        <f>N156/1000*H235</f>
        <v>0</v>
      </c>
    </row>
    <row r="236" spans="4:11" s="65" customFormat="1" ht="12.75">
      <c r="D236" s="65" t="s">
        <v>198</v>
      </c>
      <c r="K236" s="69">
        <f>N157/1000*H236</f>
        <v>0</v>
      </c>
    </row>
    <row r="237" spans="4:11" s="65" customFormat="1" ht="12.75">
      <c r="D237" s="65" t="s">
        <v>211</v>
      </c>
      <c r="K237" s="69"/>
    </row>
    <row r="238" spans="4:11" s="65" customFormat="1" ht="12.75">
      <c r="D238" s="65" t="s">
        <v>191</v>
      </c>
      <c r="K238" s="69"/>
    </row>
    <row r="239" spans="4:11" s="65" customFormat="1" ht="12.75">
      <c r="D239" s="65" t="s">
        <v>192</v>
      </c>
      <c r="K239" s="69"/>
    </row>
    <row r="240" spans="4:11" s="65" customFormat="1" ht="12.75">
      <c r="D240" s="65" t="s">
        <v>158</v>
      </c>
      <c r="K240" s="69">
        <f>N140/1000*H240</f>
        <v>0</v>
      </c>
    </row>
    <row r="241" spans="4:11" s="65" customFormat="1" ht="12.75">
      <c r="D241" s="65" t="s">
        <v>196</v>
      </c>
      <c r="H241" s="65">
        <v>0.0018</v>
      </c>
      <c r="I241" s="65">
        <v>0</v>
      </c>
      <c r="K241" s="69">
        <f>N141/1000*H241</f>
        <v>0</v>
      </c>
    </row>
    <row r="242" spans="4:11" s="65" customFormat="1" ht="12.75">
      <c r="D242" s="65" t="s">
        <v>198</v>
      </c>
      <c r="H242" s="65">
        <v>0.00198</v>
      </c>
      <c r="I242" s="65">
        <v>0</v>
      </c>
      <c r="K242" s="69">
        <f>N142/1000*H242</f>
        <v>0.041618213999999994</v>
      </c>
    </row>
    <row r="243" spans="5:11" s="65" customFormat="1" ht="12.75">
      <c r="E243" s="65" t="s">
        <v>201</v>
      </c>
      <c r="G243" s="65">
        <v>0</v>
      </c>
      <c r="I243" s="65">
        <v>0</v>
      </c>
      <c r="K243" s="69"/>
    </row>
    <row r="244" s="65" customFormat="1" ht="12.75">
      <c r="K244" s="69"/>
    </row>
    <row r="245" spans="2:7" s="65" customFormat="1" ht="12.75">
      <c r="B245" s="65" t="s">
        <v>224</v>
      </c>
      <c r="D245" s="65" t="s">
        <v>203</v>
      </c>
      <c r="G245" s="65" t="s">
        <v>225</v>
      </c>
    </row>
    <row r="246" spans="4:7" s="65" customFormat="1" ht="12.75">
      <c r="D246" s="65" t="s">
        <v>204</v>
      </c>
      <c r="G246" s="65" t="s">
        <v>226</v>
      </c>
    </row>
    <row r="247" spans="4:7" s="65" customFormat="1" ht="12.75">
      <c r="D247" s="65" t="s">
        <v>205</v>
      </c>
      <c r="G247" s="65" t="s">
        <v>227</v>
      </c>
    </row>
    <row r="248" s="65" customFormat="1" ht="12.75">
      <c r="D248" s="65" t="s">
        <v>191</v>
      </c>
    </row>
    <row r="249" spans="4:11" s="65" customFormat="1" ht="12.75">
      <c r="D249" s="65" t="s">
        <v>158</v>
      </c>
      <c r="H249" s="65">
        <v>0.02367</v>
      </c>
      <c r="K249" s="69">
        <f>N150/1000*H249</f>
        <v>0</v>
      </c>
    </row>
    <row r="250" spans="4:11" s="65" customFormat="1" ht="12.75">
      <c r="D250" s="65" t="s">
        <v>196</v>
      </c>
      <c r="H250" s="65">
        <v>0.0263</v>
      </c>
      <c r="K250" s="69">
        <f>N151/1000*H250</f>
        <v>0</v>
      </c>
    </row>
    <row r="251" spans="4:11" s="65" customFormat="1" ht="12.75">
      <c r="D251" s="65" t="s">
        <v>198</v>
      </c>
      <c r="H251" s="65">
        <v>0.02893</v>
      </c>
      <c r="K251" s="69">
        <f>N152/1000*H251</f>
        <v>0.069432</v>
      </c>
    </row>
    <row r="252" s="65" customFormat="1" ht="12.75">
      <c r="K252" s="69"/>
    </row>
    <row r="253" spans="1:11" s="65" customFormat="1" ht="12.75">
      <c r="A253" s="65" t="s">
        <v>228</v>
      </c>
      <c r="B253" s="65" t="s">
        <v>229</v>
      </c>
      <c r="D253" s="65" t="s">
        <v>203</v>
      </c>
      <c r="K253" s="69"/>
    </row>
    <row r="254" spans="2:11" s="65" customFormat="1" ht="12.75">
      <c r="B254" s="65" t="s">
        <v>230</v>
      </c>
      <c r="D254" s="65" t="s">
        <v>209</v>
      </c>
      <c r="K254" s="69"/>
    </row>
    <row r="255" spans="4:11" s="65" customFormat="1" ht="12.75">
      <c r="D255" s="65" t="s">
        <v>191</v>
      </c>
      <c r="K255" s="69"/>
    </row>
    <row r="256" spans="4:11" s="65" customFormat="1" ht="12.75">
      <c r="D256" s="65" t="s">
        <v>158</v>
      </c>
      <c r="H256" s="65">
        <v>0.014679</v>
      </c>
      <c r="I256" s="65">
        <v>0</v>
      </c>
      <c r="K256" s="69">
        <f>N155/1000*H256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N156/1000*H257</f>
        <v>0</v>
      </c>
    </row>
    <row r="258" spans="4:11" s="65" customFormat="1" ht="12.75">
      <c r="D258" s="65" t="s">
        <v>198</v>
      </c>
      <c r="K258" s="69">
        <f>N157/1000*H258</f>
        <v>0</v>
      </c>
    </row>
    <row r="259" spans="4:11" s="65" customFormat="1" ht="12.75">
      <c r="D259" s="65" t="s">
        <v>211</v>
      </c>
      <c r="K259" s="69"/>
    </row>
    <row r="260" spans="4:11" s="65" customFormat="1" ht="12.75">
      <c r="D260" s="65" t="s">
        <v>191</v>
      </c>
      <c r="K260" s="69"/>
    </row>
    <row r="261" spans="4:11" s="65" customFormat="1" ht="12.75">
      <c r="D261" s="65" t="s">
        <v>192</v>
      </c>
      <c r="K261" s="69"/>
    </row>
    <row r="262" spans="4:11" s="65" customFormat="1" ht="12.75">
      <c r="D262" s="65" t="s">
        <v>158</v>
      </c>
      <c r="K262" s="69">
        <f>N140/1000*H262</f>
        <v>0</v>
      </c>
    </row>
    <row r="263" spans="4:11" s="65" customFormat="1" ht="12.75">
      <c r="D263" s="65" t="s">
        <v>196</v>
      </c>
      <c r="H263" s="65">
        <v>0.01631</v>
      </c>
      <c r="I263" s="65">
        <v>0</v>
      </c>
      <c r="K263" s="69">
        <f>N141/1000*H263</f>
        <v>0</v>
      </c>
    </row>
    <row r="264" spans="4:11" s="65" customFormat="1" ht="12.75">
      <c r="D264" s="65" t="s">
        <v>198</v>
      </c>
      <c r="H264" s="65">
        <v>0.017941</v>
      </c>
      <c r="I264" s="65">
        <v>0</v>
      </c>
      <c r="K264" s="69">
        <f>N142/1000*H264</f>
        <v>0.37710726129999994</v>
      </c>
    </row>
    <row r="265" spans="5:11" s="65" customFormat="1" ht="12.75">
      <c r="E265" s="65" t="s">
        <v>201</v>
      </c>
      <c r="G265" s="65">
        <v>0</v>
      </c>
      <c r="I265" s="65">
        <v>0</v>
      </c>
      <c r="K265" s="69"/>
    </row>
    <row r="266" s="65" customFormat="1" ht="12.75">
      <c r="K266" s="69"/>
    </row>
    <row r="267" spans="1:11" s="65" customFormat="1" ht="12.75">
      <c r="A267" s="65" t="s">
        <v>231</v>
      </c>
      <c r="B267" s="65" t="s">
        <v>232</v>
      </c>
      <c r="D267" s="65" t="s">
        <v>203</v>
      </c>
      <c r="K267" s="69"/>
    </row>
    <row r="268" spans="2:11" s="65" customFormat="1" ht="12.75">
      <c r="B268" s="65" t="s">
        <v>233</v>
      </c>
      <c r="D268" s="65" t="s">
        <v>211</v>
      </c>
      <c r="K268" s="69"/>
    </row>
    <row r="269" spans="4:11" s="65" customFormat="1" ht="12.75">
      <c r="D269" s="65" t="s">
        <v>209</v>
      </c>
      <c r="K269" s="69"/>
    </row>
    <row r="270" spans="4:11" s="65" customFormat="1" ht="12.75">
      <c r="D270" s="65" t="s">
        <v>234</v>
      </c>
      <c r="K270" s="69"/>
    </row>
    <row r="271" spans="4:11" s="65" customFormat="1" ht="12.75">
      <c r="D271" s="65" t="s">
        <v>235</v>
      </c>
      <c r="F271" s="65" t="s">
        <v>236</v>
      </c>
      <c r="K271" s="69"/>
    </row>
    <row r="272" spans="4:11" s="65" customFormat="1" ht="12.75">
      <c r="D272" s="65" t="s">
        <v>191</v>
      </c>
      <c r="F272" s="65" t="s">
        <v>237</v>
      </c>
      <c r="K272" s="69"/>
    </row>
    <row r="273" spans="4:11" s="65" customFormat="1" ht="12.75">
      <c r="D273" s="65" t="s">
        <v>158</v>
      </c>
      <c r="H273" s="65">
        <v>41000</v>
      </c>
      <c r="I273" s="65">
        <v>0</v>
      </c>
      <c r="K273" s="69">
        <f>N168/H273</f>
        <v>0</v>
      </c>
    </row>
    <row r="274" spans="4:11" s="65" customFormat="1" ht="12.75">
      <c r="D274" s="65" t="s">
        <v>196</v>
      </c>
      <c r="H274" s="65">
        <v>39000</v>
      </c>
      <c r="I274" s="65">
        <v>0</v>
      </c>
      <c r="K274" s="69">
        <f>N169/H274</f>
        <v>0</v>
      </c>
    </row>
    <row r="275" spans="4:11" s="65" customFormat="1" ht="12.75">
      <c r="D275" s="65" t="s">
        <v>198</v>
      </c>
      <c r="H275" s="65">
        <v>37000</v>
      </c>
      <c r="I275" s="65">
        <v>0</v>
      </c>
      <c r="K275" s="69">
        <f>N170/H275</f>
        <v>0.5680891891891892</v>
      </c>
    </row>
    <row r="276" s="65" customFormat="1" ht="12.75">
      <c r="K276" s="69"/>
    </row>
    <row r="277" spans="4:11" s="65" customFormat="1" ht="12.75">
      <c r="D277" s="65" t="s">
        <v>238</v>
      </c>
      <c r="K277" s="69"/>
    </row>
    <row r="278" spans="4:11" s="65" customFormat="1" ht="12.75">
      <c r="D278" s="65" t="s">
        <v>239</v>
      </c>
      <c r="F278" s="65" t="s">
        <v>240</v>
      </c>
      <c r="K278" s="69"/>
    </row>
    <row r="279" spans="4:11" s="65" customFormat="1" ht="12.75">
      <c r="D279" s="65" t="s">
        <v>191</v>
      </c>
      <c r="K279" s="69"/>
    </row>
    <row r="280" spans="4:11" s="65" customFormat="1" ht="12.75">
      <c r="D280" s="65" t="s">
        <v>158</v>
      </c>
      <c r="H280" s="65">
        <v>450</v>
      </c>
      <c r="I280" s="65">
        <v>0</v>
      </c>
      <c r="K280" s="69">
        <f>N173/H280</f>
        <v>0</v>
      </c>
    </row>
    <row r="281" spans="4:11" s="65" customFormat="1" ht="12.75">
      <c r="D281" s="65" t="s">
        <v>196</v>
      </c>
      <c r="H281" s="65">
        <v>375</v>
      </c>
      <c r="I281" s="65">
        <v>0</v>
      </c>
      <c r="K281" s="69">
        <f>N174/H281</f>
        <v>0</v>
      </c>
    </row>
    <row r="282" spans="4:11" s="65" customFormat="1" ht="12.75">
      <c r="D282" s="65" t="s">
        <v>198</v>
      </c>
      <c r="H282" s="65">
        <v>310</v>
      </c>
      <c r="I282" s="65">
        <v>0</v>
      </c>
      <c r="K282" s="69">
        <f>N175/H282</f>
        <v>1.270967741935484</v>
      </c>
    </row>
    <row r="283" spans="5:11" s="65" customFormat="1" ht="12.75">
      <c r="E283" s="65" t="s">
        <v>201</v>
      </c>
      <c r="G283" s="65">
        <v>0</v>
      </c>
      <c r="I283" s="65">
        <v>0</v>
      </c>
      <c r="K283" s="69"/>
    </row>
    <row r="284" s="65" customFormat="1" ht="12.75">
      <c r="K284" s="69"/>
    </row>
    <row r="285" spans="1:11" s="65" customFormat="1" ht="12.75">
      <c r="A285" s="65" t="s">
        <v>241</v>
      </c>
      <c r="B285" s="65" t="s">
        <v>242</v>
      </c>
      <c r="D285" s="65" t="s">
        <v>243</v>
      </c>
      <c r="K285" s="69"/>
    </row>
    <row r="286" spans="4:11" s="65" customFormat="1" ht="12.75">
      <c r="D286" s="65" t="s">
        <v>244</v>
      </c>
      <c r="F286" s="65" t="s">
        <v>240</v>
      </c>
      <c r="K286" s="69"/>
    </row>
    <row r="287" spans="4:11" s="65" customFormat="1" ht="12.75">
      <c r="D287" s="65" t="s">
        <v>245</v>
      </c>
      <c r="K287" s="69"/>
    </row>
    <row r="288" spans="4:11" s="65" customFormat="1" ht="12.75">
      <c r="D288" s="65" t="s">
        <v>158</v>
      </c>
      <c r="H288" s="65">
        <v>2350</v>
      </c>
      <c r="I288" s="65">
        <v>0</v>
      </c>
      <c r="K288" s="69">
        <f>N173/H288</f>
        <v>0</v>
      </c>
    </row>
    <row r="289" spans="4:11" s="65" customFormat="1" ht="12.75">
      <c r="D289" s="65" t="s">
        <v>196</v>
      </c>
      <c r="H289" s="65">
        <v>2250</v>
      </c>
      <c r="I289" s="65">
        <v>0</v>
      </c>
      <c r="K289" s="69">
        <f>N174/H289</f>
        <v>0</v>
      </c>
    </row>
    <row r="290" spans="4:11" s="65" customFormat="1" ht="12.75">
      <c r="D290" s="65" t="s">
        <v>198</v>
      </c>
      <c r="H290" s="65">
        <v>2200</v>
      </c>
      <c r="I290" s="65">
        <v>0</v>
      </c>
      <c r="K290" s="69">
        <f>N175/H290</f>
        <v>0.17909090909090908</v>
      </c>
    </row>
    <row r="291" spans="5:11" s="65" customFormat="1" ht="12.75">
      <c r="E291" s="65" t="s">
        <v>201</v>
      </c>
      <c r="G291" s="65">
        <v>0</v>
      </c>
      <c r="I291" s="65">
        <v>0</v>
      </c>
      <c r="K291" s="69"/>
    </row>
    <row r="292" s="65" customFormat="1" ht="12.75">
      <c r="K292" s="69">
        <f>K154+K155+K156+K164+K165+K166+K171+K172+K173+K177+K178+K179+K185+K186+K187+K191+K192+K193+K199+K200+K201+K205+K206+K207+K213+K214+K215+K219+K220+K221+K228+K229+K230+K234+K235+K236+K240+K241+K242+K249+K250+K251+K256+K257+K258+K262+K263+K264+K273+K274+K275+K280+K281+K282+K288+K289+K290</f>
        <v>4.586516261115581</v>
      </c>
    </row>
    <row r="293" spans="1:11" s="65" customFormat="1" ht="12.75">
      <c r="A293" s="65" t="s">
        <v>246</v>
      </c>
      <c r="B293" s="65" t="s">
        <v>247</v>
      </c>
      <c r="F293" s="65" t="s">
        <v>248</v>
      </c>
      <c r="I293" s="65">
        <v>1</v>
      </c>
      <c r="K293" s="69">
        <f>K292*1.12</f>
        <v>5.136898212449451</v>
      </c>
    </row>
    <row r="294" s="65" customFormat="1" ht="12.75">
      <c r="B294" s="65" t="s">
        <v>249</v>
      </c>
    </row>
    <row r="295" s="65" customFormat="1" ht="12.75">
      <c r="B295" s="65" t="s">
        <v>250</v>
      </c>
    </row>
    <row r="296" s="65" customFormat="1" ht="12.75"/>
    <row r="297" spans="1:9" s="65" customFormat="1" ht="12.75">
      <c r="A297" s="65" t="s">
        <v>251</v>
      </c>
      <c r="B297" s="65" t="s">
        <v>252</v>
      </c>
      <c r="I297" s="65">
        <v>2</v>
      </c>
    </row>
    <row r="298" spans="1:9" s="65" customFormat="1" ht="12.75">
      <c r="A298" s="65" t="s">
        <v>253</v>
      </c>
      <c r="B298" s="65" t="s">
        <v>254</v>
      </c>
      <c r="I298" s="65">
        <v>1</v>
      </c>
    </row>
    <row r="299" spans="1:9" s="65" customFormat="1" ht="12.75">
      <c r="A299" s="65" t="s">
        <v>255</v>
      </c>
      <c r="B299" s="65" t="s">
        <v>256</v>
      </c>
      <c r="I299" s="65">
        <v>1</v>
      </c>
    </row>
    <row r="300" spans="2:9" s="65" customFormat="1" ht="12.75">
      <c r="B300" s="65" t="s">
        <v>257</v>
      </c>
      <c r="I300" s="65">
        <v>5</v>
      </c>
    </row>
    <row r="301" s="65" customFormat="1" ht="12.75">
      <c r="F301" s="65" t="s">
        <v>258</v>
      </c>
    </row>
    <row r="302" spans="1:9" s="65" customFormat="1" ht="12.75">
      <c r="A302" s="65" t="s">
        <v>259</v>
      </c>
      <c r="B302" s="65" t="s">
        <v>260</v>
      </c>
      <c r="E302" s="65" t="s">
        <v>261</v>
      </c>
      <c r="G302" s="65">
        <v>3230</v>
      </c>
      <c r="H302" s="65">
        <v>1200</v>
      </c>
      <c r="I302" s="78">
        <f>G302/H302</f>
        <v>2.691666666666667</v>
      </c>
    </row>
    <row r="303" spans="5:9" s="65" customFormat="1" ht="12.75">
      <c r="E303" s="65" t="s">
        <v>262</v>
      </c>
      <c r="H303" s="65">
        <v>1650</v>
      </c>
      <c r="I303" s="78">
        <f>G303/H303</f>
        <v>0</v>
      </c>
    </row>
    <row r="304" spans="5:9" s="65" customFormat="1" ht="12.75">
      <c r="E304" s="65" t="s">
        <v>263</v>
      </c>
      <c r="G304" s="65">
        <v>12572</v>
      </c>
      <c r="H304" s="65">
        <v>9000</v>
      </c>
      <c r="I304" s="78">
        <f>G304/H304</f>
        <v>1.3968888888888888</v>
      </c>
    </row>
    <row r="305" spans="3:9" s="65" customFormat="1" ht="12.75">
      <c r="C305" s="65" t="s">
        <v>201</v>
      </c>
      <c r="G305" s="65">
        <f>G302+G304</f>
        <v>15802</v>
      </c>
      <c r="I305" s="78">
        <f>I302+I303+I304</f>
        <v>4.088555555555556</v>
      </c>
    </row>
    <row r="306" spans="6:9" s="65" customFormat="1" ht="12.75">
      <c r="F306" s="65" t="s">
        <v>258</v>
      </c>
      <c r="I306" s="78"/>
    </row>
    <row r="307" spans="1:9" s="65" customFormat="1" ht="12.75">
      <c r="A307" s="65" t="s">
        <v>264</v>
      </c>
      <c r="B307" s="65" t="s">
        <v>265</v>
      </c>
      <c r="E307" s="65" t="s">
        <v>266</v>
      </c>
      <c r="H307" s="65">
        <v>800</v>
      </c>
      <c r="I307" s="78">
        <f>G307/H307</f>
        <v>0</v>
      </c>
    </row>
    <row r="308" spans="2:9" s="65" customFormat="1" ht="12.75">
      <c r="B308" s="65" t="s">
        <v>267</v>
      </c>
      <c r="E308" s="65" t="s">
        <v>268</v>
      </c>
      <c r="G308" s="65">
        <v>1996.2</v>
      </c>
      <c r="H308" s="65">
        <v>960</v>
      </c>
      <c r="I308" s="78">
        <f>G308/H308</f>
        <v>2.079375</v>
      </c>
    </row>
    <row r="309" spans="5:9" s="65" customFormat="1" ht="12.75">
      <c r="E309" s="65" t="s">
        <v>269</v>
      </c>
      <c r="I309" s="78"/>
    </row>
    <row r="310" spans="3:9" s="65" customFormat="1" ht="12.75">
      <c r="C310" s="65" t="s">
        <v>201</v>
      </c>
      <c r="G310" s="65">
        <f>G307+G308+G309</f>
        <v>1996.2</v>
      </c>
      <c r="I310" s="78">
        <f>I307+I308</f>
        <v>2.079375</v>
      </c>
    </row>
    <row r="311" spans="6:9" s="65" customFormat="1" ht="12.75">
      <c r="F311" s="65" t="s">
        <v>270</v>
      </c>
      <c r="I311" s="78"/>
    </row>
    <row r="312" spans="1:9" s="65" customFormat="1" ht="12.75">
      <c r="A312" s="65" t="s">
        <v>271</v>
      </c>
      <c r="B312" s="65" t="s">
        <v>272</v>
      </c>
      <c r="E312" s="65" t="s">
        <v>273</v>
      </c>
      <c r="H312" s="65">
        <v>500</v>
      </c>
      <c r="I312" s="78">
        <f>G312/H312</f>
        <v>0</v>
      </c>
    </row>
    <row r="313" spans="5:9" s="65" customFormat="1" ht="12.75">
      <c r="E313" s="65" t="s">
        <v>274</v>
      </c>
      <c r="G313" s="65">
        <v>1017</v>
      </c>
      <c r="H313" s="65">
        <v>700</v>
      </c>
      <c r="I313" s="78">
        <f>G313/H313</f>
        <v>1.4528571428571428</v>
      </c>
    </row>
    <row r="314" spans="5:9" s="65" customFormat="1" ht="12.75">
      <c r="E314" s="65" t="s">
        <v>275</v>
      </c>
      <c r="I314" s="78"/>
    </row>
    <row r="315" spans="3:9" s="65" customFormat="1" ht="12.75">
      <c r="C315" s="65" t="s">
        <v>201</v>
      </c>
      <c r="G315" s="65">
        <v>0</v>
      </c>
      <c r="I315" s="78">
        <f>I312+I313</f>
        <v>1.4528571428571428</v>
      </c>
    </row>
    <row r="316" spans="1:2" s="65" customFormat="1" ht="12.75">
      <c r="A316" s="65" t="s">
        <v>276</v>
      </c>
      <c r="B316" s="65" t="s">
        <v>277</v>
      </c>
    </row>
    <row r="317" spans="2:9" s="65" customFormat="1" ht="12.75">
      <c r="B317" s="65" t="s">
        <v>278</v>
      </c>
      <c r="I317" s="65">
        <v>2</v>
      </c>
    </row>
  </sheetData>
  <sheetProtection/>
  <mergeCells count="52">
    <mergeCell ref="A114:G114"/>
    <mergeCell ref="A118:E118"/>
    <mergeCell ref="A120:G120"/>
    <mergeCell ref="A124:D124"/>
    <mergeCell ref="C105:I105"/>
    <mergeCell ref="C80:D80"/>
    <mergeCell ref="A83:F83"/>
    <mergeCell ref="A84:G84"/>
    <mergeCell ref="A85:D85"/>
    <mergeCell ref="E85:G85"/>
    <mergeCell ref="A86:E86"/>
    <mergeCell ref="A64:E64"/>
    <mergeCell ref="A65:G65"/>
    <mergeCell ref="A66:G66"/>
    <mergeCell ref="A72:D72"/>
    <mergeCell ref="A73:F73"/>
    <mergeCell ref="A76:E76"/>
    <mergeCell ref="A50:F50"/>
    <mergeCell ref="A51:F51"/>
    <mergeCell ref="A52:G52"/>
    <mergeCell ref="A53:G53"/>
    <mergeCell ref="A59:F59"/>
    <mergeCell ref="A63:G63"/>
    <mergeCell ref="A41:G41"/>
    <mergeCell ref="A42:G42"/>
    <mergeCell ref="A43:G43"/>
    <mergeCell ref="A44:G44"/>
    <mergeCell ref="A45:F45"/>
    <mergeCell ref="A46:F46"/>
    <mergeCell ref="A35:G35"/>
    <mergeCell ref="A36:G36"/>
    <mergeCell ref="A37:G37"/>
    <mergeCell ref="A38:G38"/>
    <mergeCell ref="A39:D39"/>
    <mergeCell ref="A40:G40"/>
    <mergeCell ref="A28:G28"/>
    <mergeCell ref="A29:G29"/>
    <mergeCell ref="A30:G30"/>
    <mergeCell ref="A31:G31"/>
    <mergeCell ref="A32:E32"/>
    <mergeCell ref="A34:G34"/>
    <mergeCell ref="A19:F19"/>
    <mergeCell ref="A20:F20"/>
    <mergeCell ref="A21:F21"/>
    <mergeCell ref="A25:F25"/>
    <mergeCell ref="A26:G26"/>
    <mergeCell ref="A27:G27"/>
    <mergeCell ref="A1:K1"/>
    <mergeCell ref="A2:K2"/>
    <mergeCell ref="A4:K5"/>
    <mergeCell ref="A6:K6"/>
    <mergeCell ref="A15:G15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H114 H120 K114" evalError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P311"/>
  <sheetViews>
    <sheetView zoomScalePageLayoutView="0" workbookViewId="0" topLeftCell="A1">
      <selection activeCell="A52" sqref="A52:IV52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7" width="9.140625" style="6" customWidth="1"/>
    <col min="8" max="8" width="9.421875" style="6" customWidth="1"/>
    <col min="9" max="9" width="11.140625" style="6" customWidth="1"/>
    <col min="10" max="10" width="8.28125" style="6" hidden="1" customWidth="1"/>
    <col min="11" max="11" width="14.0039062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698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2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65">
        <f>9.11*1.042</f>
        <v>9.49262</v>
      </c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9.49*0.04</f>
        <v>0.3796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41669.8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K17+K30+K45+K62+K69+K79</f>
        <v>39289.83165175836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H19+H21+H22+H24+H25+H26+H27+H28</f>
        <v>7747.793380105317</v>
      </c>
      <c r="M17" s="65" t="s">
        <v>76</v>
      </c>
      <c r="O17" s="69">
        <f>I299</f>
        <v>0.922949494949495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I304</f>
        <v>0.620625</v>
      </c>
    </row>
    <row r="19" spans="1:15" ht="12.75">
      <c r="A19" s="113" t="s">
        <v>674</v>
      </c>
      <c r="B19" s="113"/>
      <c r="C19" s="113"/>
      <c r="D19" s="113"/>
      <c r="E19" s="113"/>
      <c r="F19" s="113"/>
      <c r="G19" s="22"/>
      <c r="H19" s="23">
        <f>O17*2600*1.75*1.07</f>
        <v>4493.3796161616165</v>
      </c>
      <c r="I19" s="22"/>
      <c r="J19" s="22"/>
      <c r="K19" s="23"/>
      <c r="M19" s="65" t="s">
        <v>80</v>
      </c>
      <c r="O19" s="69"/>
    </row>
    <row r="20" spans="1:15" ht="12.75" hidden="1">
      <c r="A20" s="24"/>
      <c r="B20" s="24"/>
      <c r="C20" s="24"/>
      <c r="D20" s="24"/>
      <c r="E20" s="24"/>
      <c r="F20" s="24"/>
      <c r="G20" s="22"/>
      <c r="H20" s="23"/>
      <c r="I20" s="22"/>
      <c r="J20" s="22"/>
      <c r="K20" s="23"/>
      <c r="M20" s="65" t="s">
        <v>82</v>
      </c>
      <c r="O20" s="69">
        <v>4389.7</v>
      </c>
    </row>
    <row r="21" spans="1:15" ht="12.75">
      <c r="A21" s="113" t="s">
        <v>675</v>
      </c>
      <c r="B21" s="113"/>
      <c r="C21" s="113"/>
      <c r="D21" s="113"/>
      <c r="E21" s="113"/>
      <c r="F21" s="113"/>
      <c r="G21" s="22"/>
      <c r="H21" s="23">
        <f>O18*2203*1.3*1.07</f>
        <v>1901.8264931250003</v>
      </c>
      <c r="I21" s="22"/>
      <c r="J21" s="22"/>
      <c r="K21" s="23"/>
      <c r="M21" s="65" t="s">
        <v>83</v>
      </c>
      <c r="O21" s="65">
        <v>291</v>
      </c>
    </row>
    <row r="22" spans="1:16" ht="12.75">
      <c r="A22" s="23">
        <f>H19+H21</f>
        <v>6395.206109286617</v>
      </c>
      <c r="B22" s="22" t="s">
        <v>84</v>
      </c>
      <c r="C22" s="22"/>
      <c r="D22" s="22"/>
      <c r="E22" s="22"/>
      <c r="F22" s="22"/>
      <c r="G22" s="22"/>
      <c r="H22" s="23">
        <f>(H19+H21)*14.2%</f>
        <v>908.1192675186995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676</v>
      </c>
      <c r="B24" s="113"/>
      <c r="C24" s="113"/>
      <c r="D24" s="113"/>
      <c r="E24" s="113"/>
      <c r="F24" s="113"/>
      <c r="G24" s="22"/>
      <c r="H24" s="23">
        <f>0.057*O20</f>
        <v>250.2129</v>
      </c>
      <c r="I24" s="23"/>
      <c r="J24" s="22"/>
      <c r="K24" s="23"/>
      <c r="N24" s="65">
        <v>10</v>
      </c>
      <c r="P24" s="65">
        <f>O24/2</f>
        <v>0</v>
      </c>
    </row>
    <row r="25" spans="1:14" ht="12.75">
      <c r="A25" s="113" t="s">
        <v>677</v>
      </c>
      <c r="B25" s="113"/>
      <c r="C25" s="113"/>
      <c r="D25" s="113"/>
      <c r="E25" s="113"/>
      <c r="F25" s="113"/>
      <c r="G25" s="113"/>
      <c r="H25" s="23">
        <f>0.0085*O21</f>
        <v>2.4735</v>
      </c>
      <c r="I25" s="23"/>
      <c r="J25" s="22"/>
      <c r="K25" s="23"/>
      <c r="N25" s="65">
        <v>16</v>
      </c>
    </row>
    <row r="26" spans="1:13" ht="12.75">
      <c r="A26" s="113" t="s">
        <v>678</v>
      </c>
      <c r="B26" s="113"/>
      <c r="C26" s="113"/>
      <c r="D26" s="113"/>
      <c r="E26" s="113"/>
      <c r="F26" s="113"/>
      <c r="G26" s="113"/>
      <c r="H26" s="23">
        <f>0.005*O20</f>
        <v>21.9485</v>
      </c>
      <c r="I26" s="22"/>
      <c r="J26" s="22"/>
      <c r="K26" s="23"/>
      <c r="M26" s="65" t="s">
        <v>90</v>
      </c>
    </row>
    <row r="27" spans="1:15" ht="12.75">
      <c r="A27" s="113" t="s">
        <v>679</v>
      </c>
      <c r="B27" s="113"/>
      <c r="C27" s="113"/>
      <c r="D27" s="113"/>
      <c r="E27" s="113"/>
      <c r="F27" s="113"/>
      <c r="G27" s="113"/>
      <c r="H27" s="23">
        <f>O20*0.017</f>
        <v>74.6249</v>
      </c>
      <c r="I27" s="22"/>
      <c r="J27" s="22">
        <v>13606.82</v>
      </c>
      <c r="K27" s="23"/>
      <c r="M27" s="65" t="s">
        <v>92</v>
      </c>
      <c r="O27" s="65">
        <v>36</v>
      </c>
    </row>
    <row r="28" spans="1:16" ht="12.75">
      <c r="A28" s="113" t="s">
        <v>93</v>
      </c>
      <c r="B28" s="113"/>
      <c r="C28" s="113"/>
      <c r="D28" s="113"/>
      <c r="E28" s="113"/>
      <c r="F28" s="113"/>
      <c r="G28" s="113"/>
      <c r="H28" s="23">
        <f>0.0205*O20*1.058</f>
        <v>95.20820330000001</v>
      </c>
      <c r="I28" s="22"/>
      <c r="J28" s="22"/>
      <c r="K28" s="23"/>
      <c r="M28" s="65" t="s">
        <v>94</v>
      </c>
      <c r="O28" s="65">
        <v>1000</v>
      </c>
      <c r="P28" s="65">
        <v>504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H32+H33+H34+H35+H36+H37+H38+H39+H40+H41+H42+H43</f>
        <v>8183.99054</v>
      </c>
      <c r="M30" s="65" t="s">
        <v>96</v>
      </c>
      <c r="O30" s="69">
        <f>K287</f>
        <v>1.2090615382328709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3.2333333333333334</v>
      </c>
    </row>
    <row r="32" spans="1:11" ht="12.75">
      <c r="A32" s="113" t="s">
        <v>680</v>
      </c>
      <c r="B32" s="113"/>
      <c r="C32" s="113"/>
      <c r="D32" s="113"/>
      <c r="E32" s="113"/>
      <c r="F32" s="113"/>
      <c r="G32" s="113"/>
      <c r="H32" s="28">
        <f>(O21*1.5)/12*90.3*1.058</f>
        <v>3475.172925</v>
      </c>
      <c r="I32" s="22"/>
      <c r="J32" s="22"/>
      <c r="K32" s="29"/>
    </row>
    <row r="33" spans="1:11" ht="12.75">
      <c r="A33" s="113" t="s">
        <v>681</v>
      </c>
      <c r="B33" s="113"/>
      <c r="C33" s="113"/>
      <c r="D33" s="113"/>
      <c r="E33" s="113"/>
      <c r="F33" s="113"/>
      <c r="G33" s="113"/>
      <c r="H33" s="28">
        <f>O21*1.5*33.1/12*1.058</f>
        <v>1273.845225</v>
      </c>
      <c r="I33" s="22"/>
      <c r="J33" s="22"/>
      <c r="K33" s="29"/>
    </row>
    <row r="34" spans="1:11" ht="12.75">
      <c r="A34" s="113" t="s">
        <v>682</v>
      </c>
      <c r="B34" s="113"/>
      <c r="C34" s="113"/>
      <c r="D34" s="113"/>
      <c r="E34" s="113"/>
      <c r="F34" s="113"/>
      <c r="G34" s="113"/>
      <c r="H34" s="28">
        <f>O28*2.48</f>
        <v>2480</v>
      </c>
      <c r="I34" s="22"/>
      <c r="J34" s="22"/>
      <c r="K34" s="29"/>
    </row>
    <row r="35" spans="1:11" ht="12.75">
      <c r="A35" s="113" t="s">
        <v>683</v>
      </c>
      <c r="B35" s="113"/>
      <c r="C35" s="113"/>
      <c r="D35" s="113"/>
      <c r="E35" s="113"/>
      <c r="F35" s="113"/>
      <c r="G35" s="113"/>
      <c r="H35" s="28">
        <f>O20*0.028</f>
        <v>122.91159999999999</v>
      </c>
      <c r="I35" s="22"/>
      <c r="J35" s="22"/>
      <c r="K35" s="29"/>
    </row>
    <row r="36" spans="1:11" ht="12.75">
      <c r="A36" s="113" t="s">
        <v>684</v>
      </c>
      <c r="B36" s="113"/>
      <c r="C36" s="113"/>
      <c r="D36" s="113"/>
      <c r="E36" s="113"/>
      <c r="F36" s="113"/>
      <c r="G36" s="113"/>
      <c r="H36" s="28">
        <f>O20*0.0027</f>
        <v>11.85219</v>
      </c>
      <c r="I36" s="22"/>
      <c r="J36" s="22"/>
      <c r="K36" s="29"/>
    </row>
    <row r="37" spans="1:11" ht="12.75">
      <c r="A37" s="113" t="s">
        <v>460</v>
      </c>
      <c r="B37" s="113"/>
      <c r="C37" s="113"/>
      <c r="D37" s="113"/>
      <c r="E37" s="113"/>
      <c r="F37" s="113"/>
      <c r="G37" s="113"/>
      <c r="H37" s="28">
        <f>O27*4.81/12</f>
        <v>14.43</v>
      </c>
      <c r="I37" s="22"/>
      <c r="J37" s="22"/>
      <c r="K37" s="29"/>
    </row>
    <row r="38" spans="1:15" ht="12.75">
      <c r="A38" s="113" t="s">
        <v>685</v>
      </c>
      <c r="B38" s="113"/>
      <c r="C38" s="113"/>
      <c r="D38" s="113"/>
      <c r="E38" s="113"/>
      <c r="F38" s="113"/>
      <c r="G38" s="113"/>
      <c r="H38" s="28">
        <f>80*90/12/3</f>
        <v>200</v>
      </c>
      <c r="I38" s="22"/>
      <c r="J38" s="22"/>
      <c r="K38" s="29"/>
      <c r="M38" s="65" t="s">
        <v>586</v>
      </c>
      <c r="O38" s="65">
        <v>90</v>
      </c>
    </row>
    <row r="39" spans="1:11" ht="12.75">
      <c r="A39" s="113" t="s">
        <v>686</v>
      </c>
      <c r="B39" s="113"/>
      <c r="C39" s="113"/>
      <c r="D39" s="113"/>
      <c r="E39" s="113"/>
      <c r="F39" s="113"/>
      <c r="G39" s="113"/>
      <c r="H39" s="28">
        <f>O20*0.027</f>
        <v>118.52189999999999</v>
      </c>
      <c r="I39" s="22"/>
      <c r="J39" s="32"/>
      <c r="K39" s="29"/>
    </row>
    <row r="40" spans="1:11" ht="12.75">
      <c r="A40" s="113" t="s">
        <v>687</v>
      </c>
      <c r="B40" s="113"/>
      <c r="C40" s="113"/>
      <c r="D40" s="113"/>
      <c r="E40" s="113"/>
      <c r="F40" s="113"/>
      <c r="G40" s="113"/>
      <c r="H40" s="28">
        <f>O20*0.022</f>
        <v>96.57339999999999</v>
      </c>
      <c r="I40" s="22"/>
      <c r="J40" s="22"/>
      <c r="K40" s="29"/>
    </row>
    <row r="41" spans="1:11" ht="12.75">
      <c r="A41" s="113" t="s">
        <v>688</v>
      </c>
      <c r="B41" s="113"/>
      <c r="C41" s="113"/>
      <c r="D41" s="113"/>
      <c r="E41" s="113"/>
      <c r="F41" s="113"/>
      <c r="G41" s="113"/>
      <c r="H41" s="28">
        <f>O20*0.022</f>
        <v>96.57339999999999</v>
      </c>
      <c r="I41" s="22"/>
      <c r="J41" s="22"/>
      <c r="K41" s="29"/>
    </row>
    <row r="42" spans="1:11" ht="12.75">
      <c r="A42" s="113" t="s">
        <v>689</v>
      </c>
      <c r="B42" s="113"/>
      <c r="C42" s="113"/>
      <c r="D42" s="113"/>
      <c r="E42" s="113"/>
      <c r="F42" s="113"/>
      <c r="G42" s="24"/>
      <c r="H42" s="28">
        <f>O20*0.053</f>
        <v>232.65409999999997</v>
      </c>
      <c r="I42" s="22"/>
      <c r="J42" s="22"/>
      <c r="K42" s="29"/>
    </row>
    <row r="43" spans="1:11" ht="12.75">
      <c r="A43" s="113" t="s">
        <v>690</v>
      </c>
      <c r="B43" s="113"/>
      <c r="C43" s="113"/>
      <c r="D43" s="113"/>
      <c r="E43" s="113"/>
      <c r="F43" s="113"/>
      <c r="G43" s="24"/>
      <c r="H43" s="28">
        <f>O20*0.014</f>
        <v>61.455799999999996</v>
      </c>
      <c r="I43" s="22"/>
      <c r="J43" s="22"/>
      <c r="K43" s="29"/>
    </row>
    <row r="44" spans="1:11" ht="12.75">
      <c r="A44" s="24"/>
      <c r="B44" s="24"/>
      <c r="C44" s="24"/>
      <c r="D44" s="24"/>
      <c r="E44" s="24"/>
      <c r="F44" s="24"/>
      <c r="G44" s="24"/>
      <c r="H44" s="28"/>
      <c r="I44" s="22"/>
      <c r="J44" s="22"/>
      <c r="K44" s="29"/>
    </row>
    <row r="45" spans="1:13" ht="15.75">
      <c r="A45" s="20" t="s">
        <v>111</v>
      </c>
      <c r="B45" s="20"/>
      <c r="C45" s="20"/>
      <c r="D45" s="20"/>
      <c r="E45" s="20"/>
      <c r="F45" s="20"/>
      <c r="G45" s="20"/>
      <c r="H45" s="27"/>
      <c r="I45" s="20"/>
      <c r="J45" s="20"/>
      <c r="K45" s="21">
        <f>H48+H50+H51+H52+H53+H54+H55+H57+H56+H58+H60</f>
        <v>15968.426751653044</v>
      </c>
      <c r="M45" s="71" t="e">
        <f>K45/309084*#REF!</f>
        <v>#REF!</v>
      </c>
    </row>
    <row r="46" spans="1:11" ht="12.75">
      <c r="A46" s="22"/>
      <c r="B46" s="22" t="s">
        <v>64</v>
      </c>
      <c r="C46" s="22"/>
      <c r="D46" s="22"/>
      <c r="E46" s="22"/>
      <c r="F46" s="22"/>
      <c r="G46" s="22"/>
      <c r="H46" s="28"/>
      <c r="I46" s="22"/>
      <c r="J46" s="22"/>
      <c r="K46" s="29"/>
    </row>
    <row r="47" spans="1:11" ht="12.75">
      <c r="A47" s="33" t="s">
        <v>112</v>
      </c>
      <c r="B47" s="33"/>
      <c r="C47" s="33"/>
      <c r="D47" s="33"/>
      <c r="E47" s="33"/>
      <c r="F47" s="33"/>
      <c r="G47" s="33"/>
      <c r="H47" s="34"/>
      <c r="I47" s="33"/>
      <c r="J47" s="33"/>
      <c r="K47" s="35"/>
    </row>
    <row r="48" spans="1:11" ht="12.75">
      <c r="A48" s="111" t="s">
        <v>467</v>
      </c>
      <c r="B48" s="111"/>
      <c r="C48" s="111"/>
      <c r="D48" s="111"/>
      <c r="E48" s="111"/>
      <c r="F48" s="111"/>
      <c r="G48" s="36"/>
      <c r="H48" s="37">
        <f>K287*24.48*165.1*1.5*1.07</f>
        <v>7842.9948423406695</v>
      </c>
      <c r="I48" s="38"/>
      <c r="J48" s="38"/>
      <c r="K48" s="35"/>
    </row>
    <row r="49" spans="1:11" ht="12.75">
      <c r="A49" s="33" t="s">
        <v>114</v>
      </c>
      <c r="B49" s="33"/>
      <c r="C49" s="33"/>
      <c r="D49" s="33"/>
      <c r="E49" s="33"/>
      <c r="F49" s="33"/>
      <c r="G49" s="33"/>
      <c r="H49" s="34"/>
      <c r="I49" s="33"/>
      <c r="J49" s="33"/>
      <c r="K49" s="35"/>
    </row>
    <row r="50" spans="1:11" ht="12.75">
      <c r="A50" s="39">
        <f>H48</f>
        <v>7842.9948423406695</v>
      </c>
      <c r="B50" s="36" t="s">
        <v>115</v>
      </c>
      <c r="C50" s="36"/>
      <c r="D50" s="36"/>
      <c r="E50" s="36"/>
      <c r="F50" s="36"/>
      <c r="G50" s="38"/>
      <c r="H50" s="37">
        <f>H48*14.2%</f>
        <v>1113.7052676123749</v>
      </c>
      <c r="I50" s="38"/>
      <c r="J50" s="38"/>
      <c r="K50" s="35"/>
    </row>
    <row r="51" spans="1:11" ht="12.75">
      <c r="A51" s="30" t="s">
        <v>86</v>
      </c>
      <c r="B51" s="30"/>
      <c r="C51" s="30"/>
      <c r="D51" s="30"/>
      <c r="E51" s="30"/>
      <c r="F51" s="40"/>
      <c r="G51" s="40"/>
      <c r="H51" s="37">
        <f>0.04*O20</f>
        <v>175.588</v>
      </c>
      <c r="I51" s="38"/>
      <c r="J51" s="38"/>
      <c r="K51" s="35"/>
    </row>
    <row r="52" spans="1:11" ht="12.75">
      <c r="A52" s="108" t="s">
        <v>116</v>
      </c>
      <c r="B52" s="108"/>
      <c r="C52" s="108"/>
      <c r="D52" s="108"/>
      <c r="E52" s="108"/>
      <c r="F52" s="108"/>
      <c r="G52" s="108"/>
      <c r="H52" s="37">
        <v>4800</v>
      </c>
      <c r="I52" s="38"/>
      <c r="J52" s="38"/>
      <c r="K52" s="35"/>
    </row>
    <row r="53" spans="1:11" ht="12.75">
      <c r="A53" s="108" t="s">
        <v>691</v>
      </c>
      <c r="B53" s="108"/>
      <c r="C53" s="108"/>
      <c r="D53" s="108"/>
      <c r="E53" s="108"/>
      <c r="F53" s="30"/>
      <c r="G53" s="30"/>
      <c r="H53" s="37">
        <f>0.0037*O20</f>
        <v>16.24189</v>
      </c>
      <c r="I53" s="38"/>
      <c r="J53" s="38"/>
      <c r="K53" s="35"/>
    </row>
    <row r="54" spans="1:12" ht="12.75">
      <c r="A54" s="108" t="s">
        <v>692</v>
      </c>
      <c r="B54" s="108"/>
      <c r="C54" s="108"/>
      <c r="D54" s="108"/>
      <c r="E54" s="108"/>
      <c r="F54" s="108"/>
      <c r="G54" s="108"/>
      <c r="H54" s="37">
        <f>O20*0.082</f>
        <v>359.9554</v>
      </c>
      <c r="I54" s="38"/>
      <c r="J54" s="38"/>
      <c r="K54" s="35"/>
      <c r="L54" s="69"/>
    </row>
    <row r="55" spans="1:13" ht="12.75">
      <c r="A55" s="108" t="s">
        <v>693</v>
      </c>
      <c r="B55" s="108"/>
      <c r="C55" s="108"/>
      <c r="D55" s="108"/>
      <c r="E55" s="108"/>
      <c r="F55" s="108"/>
      <c r="G55" s="108"/>
      <c r="H55" s="31">
        <f>O20*0.023*1.107</f>
        <v>111.7661517</v>
      </c>
      <c r="I55" s="33"/>
      <c r="J55" s="33"/>
      <c r="K55" s="35"/>
      <c r="M55" s="65" t="e">
        <f>36646.37/309083*#REF!</f>
        <v>#REF!</v>
      </c>
    </row>
    <row r="56" spans="1:11" ht="12.75">
      <c r="A56" s="30" t="s">
        <v>471</v>
      </c>
      <c r="B56" s="30"/>
      <c r="C56" s="30"/>
      <c r="D56" s="30"/>
      <c r="E56" s="30"/>
      <c r="F56" s="30"/>
      <c r="G56" s="30"/>
      <c r="H56" s="31">
        <f>0.216*O20</f>
        <v>948.1751999999999</v>
      </c>
      <c r="I56" s="33"/>
      <c r="J56" s="33"/>
      <c r="K56" s="35"/>
    </row>
    <row r="57" spans="1:11" ht="12.75">
      <c r="A57" s="41" t="s">
        <v>120</v>
      </c>
      <c r="B57" s="41"/>
      <c r="C57" s="41"/>
      <c r="D57" s="41"/>
      <c r="E57" s="40"/>
      <c r="F57" s="40"/>
      <c r="G57" s="40"/>
      <c r="H57" s="31">
        <v>500</v>
      </c>
      <c r="I57" s="40"/>
      <c r="J57" s="40"/>
      <c r="K57" s="35"/>
    </row>
    <row r="58" spans="1:11" ht="12.75">
      <c r="A58" s="108" t="s">
        <v>376</v>
      </c>
      <c r="B58" s="108"/>
      <c r="C58" s="108"/>
      <c r="D58" s="108"/>
      <c r="E58" s="108"/>
      <c r="F58" s="108"/>
      <c r="G58" s="120"/>
      <c r="H58" s="37">
        <v>100</v>
      </c>
      <c r="I58" s="38"/>
      <c r="J58" s="38"/>
      <c r="K58" s="35"/>
    </row>
    <row r="59" spans="1:11" ht="12.75" customHeight="1" hidden="1">
      <c r="A59" s="38"/>
      <c r="B59" s="38"/>
      <c r="C59" s="38"/>
      <c r="D59" s="40"/>
      <c r="E59" s="40"/>
      <c r="F59" s="40"/>
      <c r="G59" s="40"/>
      <c r="H59" s="121"/>
      <c r="I59" s="40"/>
      <c r="J59" s="40"/>
      <c r="K59" s="122"/>
    </row>
    <row r="60" spans="1:11" ht="12.75">
      <c r="A60" s="38" t="s">
        <v>377</v>
      </c>
      <c r="B60" s="38"/>
      <c r="C60" s="38"/>
      <c r="D60" s="40"/>
      <c r="E60" s="40"/>
      <c r="F60" s="40"/>
      <c r="G60" s="44"/>
      <c r="H60" s="31"/>
      <c r="I60" s="40"/>
      <c r="J60" s="40"/>
      <c r="K60" s="122"/>
    </row>
    <row r="61" spans="1:11" ht="12.75">
      <c r="A61" s="38"/>
      <c r="B61" s="38"/>
      <c r="C61" s="38"/>
      <c r="D61" s="40"/>
      <c r="E61" s="40"/>
      <c r="F61" s="40"/>
      <c r="G61" s="44"/>
      <c r="H61" s="31"/>
      <c r="I61" s="40"/>
      <c r="J61" s="40"/>
      <c r="K61" s="122"/>
    </row>
    <row r="62" spans="1:13" ht="15.75">
      <c r="A62" s="110" t="s">
        <v>121</v>
      </c>
      <c r="B62" s="110"/>
      <c r="C62" s="110"/>
      <c r="D62" s="110"/>
      <c r="E62" s="42"/>
      <c r="F62" s="42"/>
      <c r="G62" s="20"/>
      <c r="H62" s="27"/>
      <c r="I62" s="20"/>
      <c r="J62" s="20"/>
      <c r="K62" s="21">
        <f>H64+H65+H66+H67</f>
        <v>3173.3141299999997</v>
      </c>
      <c r="M62" s="72" t="e">
        <f>51932.37/301083*#REF!</f>
        <v>#REF!</v>
      </c>
    </row>
    <row r="63" spans="1:11" ht="12.75">
      <c r="A63" s="111" t="s">
        <v>122</v>
      </c>
      <c r="B63" s="111"/>
      <c r="C63" s="111"/>
      <c r="D63" s="111"/>
      <c r="E63" s="111"/>
      <c r="F63" s="111"/>
      <c r="G63" s="36"/>
      <c r="H63" s="37"/>
      <c r="I63" s="36"/>
      <c r="J63" s="36"/>
      <c r="K63" s="35"/>
    </row>
    <row r="64" spans="1:11" ht="12.75">
      <c r="A64" s="36" t="s">
        <v>694</v>
      </c>
      <c r="B64" s="36"/>
      <c r="C64" s="36"/>
      <c r="D64" s="36"/>
      <c r="E64" s="36"/>
      <c r="F64" s="36"/>
      <c r="G64" s="36"/>
      <c r="H64" s="37">
        <f>0.2227*O20</f>
        <v>977.58619</v>
      </c>
      <c r="I64" s="36"/>
      <c r="J64" s="36"/>
      <c r="K64" s="35"/>
    </row>
    <row r="65" spans="1:11" ht="12.75">
      <c r="A65" s="30" t="s">
        <v>695</v>
      </c>
      <c r="B65" s="43"/>
      <c r="C65" s="30"/>
      <c r="D65" s="30"/>
      <c r="E65" s="44"/>
      <c r="F65" s="38"/>
      <c r="G65" s="38"/>
      <c r="H65" s="37">
        <f>0.0257*O20</f>
        <v>112.81529</v>
      </c>
      <c r="I65" s="38"/>
      <c r="J65" s="38"/>
      <c r="K65" s="35"/>
    </row>
    <row r="66" spans="1:11" ht="12.75">
      <c r="A66" s="111" t="s">
        <v>696</v>
      </c>
      <c r="B66" s="111"/>
      <c r="C66" s="111"/>
      <c r="D66" s="111"/>
      <c r="E66" s="111"/>
      <c r="F66" s="38"/>
      <c r="G66" s="38"/>
      <c r="H66" s="37">
        <f>0.0945*O20</f>
        <v>414.82665</v>
      </c>
      <c r="I66" s="38"/>
      <c r="J66" s="38"/>
      <c r="K66" s="35"/>
    </row>
    <row r="67" spans="1:11" ht="12.75">
      <c r="A67" s="36" t="s">
        <v>697</v>
      </c>
      <c r="B67" s="36"/>
      <c r="C67" s="36"/>
      <c r="D67" s="36"/>
      <c r="E67" s="36"/>
      <c r="F67" s="38"/>
      <c r="G67" s="38"/>
      <c r="H67" s="37">
        <f>0.38*O20</f>
        <v>1668.086</v>
      </c>
      <c r="I67" s="38"/>
      <c r="J67" s="38"/>
      <c r="K67" s="45"/>
    </row>
    <row r="68" spans="1:11" ht="12.75">
      <c r="A68" s="30"/>
      <c r="B68" s="30"/>
      <c r="C68" s="30"/>
      <c r="D68" s="30"/>
      <c r="E68" s="38"/>
      <c r="F68" s="38"/>
      <c r="G68" s="38"/>
      <c r="H68" s="37"/>
      <c r="I68" s="38"/>
      <c r="J68" s="38"/>
      <c r="K68" s="35"/>
    </row>
    <row r="69" spans="1:13" ht="15.75">
      <c r="A69" s="26" t="s">
        <v>127</v>
      </c>
      <c r="B69" s="26"/>
      <c r="C69" s="26"/>
      <c r="D69" s="26"/>
      <c r="E69" s="26"/>
      <c r="F69" s="26"/>
      <c r="G69" s="26"/>
      <c r="H69" s="46"/>
      <c r="I69" s="20"/>
      <c r="J69" s="20"/>
      <c r="K69" s="21">
        <f>O20*0.94</f>
        <v>4126.317999999999</v>
      </c>
      <c r="M69" s="71" t="e">
        <f>231179.9/309083*#REF!</f>
        <v>#REF!</v>
      </c>
    </row>
    <row r="70" spans="1:11" ht="15.75">
      <c r="A70" s="47"/>
      <c r="B70" s="47"/>
      <c r="C70" s="112" t="s">
        <v>64</v>
      </c>
      <c r="D70" s="112"/>
      <c r="E70" s="47"/>
      <c r="F70" s="47"/>
      <c r="G70" s="47"/>
      <c r="H70" s="48"/>
      <c r="I70" s="47"/>
      <c r="J70" s="47"/>
      <c r="K70" s="49"/>
    </row>
    <row r="71" spans="1:11" ht="12.75">
      <c r="A71" s="30" t="s">
        <v>128</v>
      </c>
      <c r="B71" s="30"/>
      <c r="C71" s="30"/>
      <c r="D71" s="30"/>
      <c r="E71" s="30"/>
      <c r="F71" s="30"/>
      <c r="G71" s="30"/>
      <c r="H71" s="37"/>
      <c r="I71" s="38"/>
      <c r="J71" s="38"/>
      <c r="K71" s="35"/>
    </row>
    <row r="72" spans="1:11" ht="12.75">
      <c r="A72" s="30" t="s">
        <v>129</v>
      </c>
      <c r="B72" s="43"/>
      <c r="C72" s="30"/>
      <c r="D72" s="30"/>
      <c r="E72" s="30"/>
      <c r="F72" s="44"/>
      <c r="G72" s="44"/>
      <c r="H72" s="37"/>
      <c r="I72" s="38"/>
      <c r="J72" s="38"/>
      <c r="K72" s="35"/>
    </row>
    <row r="73" spans="1:11" ht="12.75">
      <c r="A73" s="108" t="s">
        <v>130</v>
      </c>
      <c r="B73" s="108"/>
      <c r="C73" s="108"/>
      <c r="D73" s="108"/>
      <c r="E73" s="108"/>
      <c r="F73" s="108"/>
      <c r="G73" s="44"/>
      <c r="H73" s="37"/>
      <c r="I73" s="38"/>
      <c r="J73" s="38"/>
      <c r="K73" s="35"/>
    </row>
    <row r="74" spans="1:11" ht="12.75">
      <c r="A74" s="108" t="s">
        <v>131</v>
      </c>
      <c r="B74" s="108"/>
      <c r="C74" s="108"/>
      <c r="D74" s="108"/>
      <c r="E74" s="108"/>
      <c r="F74" s="108"/>
      <c r="G74" s="108"/>
      <c r="H74" s="37"/>
      <c r="I74" s="38"/>
      <c r="J74" s="38"/>
      <c r="K74" s="35"/>
    </row>
    <row r="75" spans="1:11" ht="12.75">
      <c r="A75" s="108" t="s">
        <v>132</v>
      </c>
      <c r="B75" s="108"/>
      <c r="C75" s="108"/>
      <c r="D75" s="108"/>
      <c r="E75" s="109"/>
      <c r="F75" s="109"/>
      <c r="G75" s="109"/>
      <c r="H75" s="37"/>
      <c r="I75" s="38"/>
      <c r="J75" s="38"/>
      <c r="K75" s="35"/>
    </row>
    <row r="76" spans="1:11" ht="12.75">
      <c r="A76" s="108" t="s">
        <v>133</v>
      </c>
      <c r="B76" s="108"/>
      <c r="C76" s="108"/>
      <c r="D76" s="108"/>
      <c r="E76" s="108"/>
      <c r="F76" s="44"/>
      <c r="G76" s="44"/>
      <c r="H76" s="37"/>
      <c r="I76" s="38"/>
      <c r="J76" s="38"/>
      <c r="K76" s="35"/>
    </row>
    <row r="77" spans="1:11" ht="12.75">
      <c r="A77" s="44" t="s">
        <v>134</v>
      </c>
      <c r="B77" s="44"/>
      <c r="C77" s="44"/>
      <c r="D77" s="44"/>
      <c r="E77" s="44"/>
      <c r="F77" s="44"/>
      <c r="G77" s="44"/>
      <c r="H77" s="37"/>
      <c r="I77" s="38"/>
      <c r="J77" s="38"/>
      <c r="K77" s="35"/>
    </row>
    <row r="78" spans="1:11" ht="12.75">
      <c r="A78" s="22"/>
      <c r="B78" s="22"/>
      <c r="C78" s="22"/>
      <c r="D78" s="22"/>
      <c r="E78" s="22"/>
      <c r="F78" s="22"/>
      <c r="G78" s="22"/>
      <c r="H78" s="28"/>
      <c r="I78" s="22"/>
      <c r="J78" s="22"/>
      <c r="K78" s="29"/>
    </row>
    <row r="79" spans="1:13" ht="15.75">
      <c r="A79" s="20" t="s">
        <v>135</v>
      </c>
      <c r="B79" s="20"/>
      <c r="C79" s="20"/>
      <c r="D79" s="20"/>
      <c r="E79" s="20"/>
      <c r="F79" s="51"/>
      <c r="G79" s="51"/>
      <c r="H79" s="52"/>
      <c r="I79" s="51"/>
      <c r="J79" s="51"/>
      <c r="K79" s="21">
        <f>0.0205*O20</f>
        <v>89.98885</v>
      </c>
      <c r="L79" s="72" t="e">
        <f>K79/309084*#REF!</f>
        <v>#REF!</v>
      </c>
      <c r="M79" s="72" t="e">
        <f>L79/309084*#REF!</f>
        <v>#REF!</v>
      </c>
    </row>
    <row r="80" spans="1:13" ht="15.75">
      <c r="A80" s="53"/>
      <c r="B80" s="54"/>
      <c r="C80" s="54"/>
      <c r="D80" s="54"/>
      <c r="E80" s="54"/>
      <c r="F80" s="53"/>
      <c r="G80" s="53"/>
      <c r="H80" s="55"/>
      <c r="I80" s="53"/>
      <c r="J80" s="53"/>
      <c r="K80" s="56"/>
      <c r="L80" s="72"/>
      <c r="M80" s="72"/>
    </row>
    <row r="81" spans="1:11" ht="15.75">
      <c r="A81" s="57" t="s">
        <v>136</v>
      </c>
      <c r="B81" s="57"/>
      <c r="C81" s="57"/>
      <c r="D81" s="58"/>
      <c r="E81" s="58"/>
      <c r="F81" s="58"/>
      <c r="G81" s="58"/>
      <c r="H81" s="59"/>
      <c r="I81" s="58"/>
      <c r="J81" s="58"/>
      <c r="K81" s="60">
        <f>K15*6%</f>
        <v>2357.3898991055016</v>
      </c>
    </row>
    <row r="82" spans="1:11" ht="15">
      <c r="A82" s="58"/>
      <c r="B82" s="61"/>
      <c r="C82" s="61"/>
      <c r="D82" s="61"/>
      <c r="E82" s="61"/>
      <c r="F82" s="61"/>
      <c r="G82" s="61"/>
      <c r="H82" s="62"/>
      <c r="I82" s="58"/>
      <c r="J82" s="58"/>
      <c r="K82" s="58"/>
    </row>
    <row r="83" spans="1:11" ht="15.75">
      <c r="A83" s="63" t="s">
        <v>137</v>
      </c>
      <c r="B83" s="63"/>
      <c r="C83" s="63"/>
      <c r="D83" s="63"/>
      <c r="E83" s="63"/>
      <c r="F83" s="63"/>
      <c r="G83" s="63"/>
      <c r="H83" s="63"/>
      <c r="I83" s="63"/>
      <c r="J83" s="63"/>
      <c r="K83" s="64">
        <f>K81+K15</f>
        <v>41647.22155086386</v>
      </c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 t="s">
        <v>138</v>
      </c>
      <c r="B85" s="63"/>
      <c r="C85" s="63"/>
      <c r="D85" s="63"/>
      <c r="E85" s="63"/>
      <c r="F85" s="63"/>
      <c r="G85" s="63"/>
      <c r="H85" s="63"/>
      <c r="I85" s="63"/>
      <c r="J85" s="63"/>
      <c r="K85" s="64">
        <f>K83/O20</f>
        <v>9.48748696969357</v>
      </c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0" spans="1:11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1:11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4"/>
    </row>
    <row r="92" spans="1:11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1" ht="12.75">
      <c r="A93" s="126"/>
      <c r="B93" s="126"/>
      <c r="C93" s="126"/>
      <c r="D93" s="126"/>
      <c r="E93" s="126"/>
      <c r="G93" s="126"/>
      <c r="H93" s="126"/>
      <c r="I93" s="126"/>
      <c r="J93" s="126"/>
      <c r="K93" s="126"/>
    </row>
    <row r="94" spans="1:11" ht="12.75">
      <c r="A94" s="126"/>
      <c r="B94" s="126"/>
      <c r="C94" s="126"/>
      <c r="D94" s="126"/>
      <c r="E94" s="126"/>
      <c r="G94" s="126"/>
      <c r="H94" s="126"/>
      <c r="I94" s="126"/>
      <c r="J94" s="126"/>
      <c r="K94" s="126"/>
    </row>
    <row r="99" spans="3:9" s="65" customFormat="1" ht="15.75">
      <c r="C99" s="106" t="s">
        <v>139</v>
      </c>
      <c r="D99" s="107"/>
      <c r="E99" s="107"/>
      <c r="F99" s="107"/>
      <c r="G99" s="107"/>
      <c r="H99" s="107"/>
      <c r="I99" s="107"/>
    </row>
    <row r="100" spans="3:9" s="65" customFormat="1" ht="15.75">
      <c r="C100" s="74" t="s">
        <v>140</v>
      </c>
      <c r="D100" s="74" t="s">
        <v>141</v>
      </c>
      <c r="E100" s="74"/>
      <c r="F100" s="74"/>
      <c r="G100" s="75"/>
      <c r="H100" s="75"/>
      <c r="I100" s="75"/>
    </row>
    <row r="101" s="65" customFormat="1" ht="12.75"/>
    <row r="102" spans="5:8" s="65" customFormat="1" ht="12.75">
      <c r="E102" s="65" t="s">
        <v>142</v>
      </c>
      <c r="H102" s="65" t="e">
        <f>#REF!</f>
        <v>#REF!</v>
      </c>
    </row>
    <row r="103" spans="5:8" s="65" customFormat="1" ht="12.75">
      <c r="E103" s="65" t="s">
        <v>143</v>
      </c>
      <c r="H103" s="65" t="e">
        <f>#REF!</f>
        <v>#REF!</v>
      </c>
    </row>
    <row r="104" spans="5:8" s="65" customFormat="1" ht="12.75">
      <c r="E104" s="65" t="s">
        <v>144</v>
      </c>
      <c r="H104" s="65" t="e">
        <f>#REF!</f>
        <v>#REF!</v>
      </c>
    </row>
    <row r="105" spans="5:8" s="65" customFormat="1" ht="12.75">
      <c r="E105" s="65" t="s">
        <v>145</v>
      </c>
      <c r="H105" s="65">
        <f>O21</f>
        <v>291</v>
      </c>
    </row>
    <row r="106" spans="5:8" s="65" customFormat="1" ht="12.75">
      <c r="E106" s="65" t="s">
        <v>146</v>
      </c>
      <c r="H106" s="65" t="e">
        <f>#REF!</f>
        <v>#REF!</v>
      </c>
    </row>
    <row r="107" s="65" customFormat="1" ht="12.75"/>
    <row r="108" spans="1:11" s="65" customFormat="1" ht="15.75">
      <c r="A108" s="105" t="s">
        <v>72</v>
      </c>
      <c r="B108" s="105"/>
      <c r="C108" s="105"/>
      <c r="D108" s="105"/>
      <c r="E108" s="105"/>
      <c r="F108" s="105"/>
      <c r="G108" s="105"/>
      <c r="H108" s="76"/>
      <c r="I108" s="77" t="s">
        <v>70</v>
      </c>
      <c r="K108" s="78">
        <f>H108-20000</f>
        <v>-20000</v>
      </c>
    </row>
    <row r="109" spans="1:7" s="65" customFormat="1" ht="12.75">
      <c r="A109" s="79"/>
      <c r="B109" s="79"/>
      <c r="C109" s="79"/>
      <c r="D109" s="79"/>
      <c r="E109" s="79"/>
      <c r="F109" s="79"/>
      <c r="G109" s="79"/>
    </row>
    <row r="110" spans="1:8" s="65" customFormat="1" ht="15.75">
      <c r="A110" s="80" t="s">
        <v>147</v>
      </c>
      <c r="B110" s="80"/>
      <c r="C110" s="80"/>
      <c r="D110" s="80"/>
      <c r="E110" s="80"/>
      <c r="F110" s="80"/>
      <c r="G110" s="80"/>
      <c r="H110" s="78">
        <f>K17</f>
        <v>7747.793380105317</v>
      </c>
    </row>
    <row r="111" spans="1:8" s="65" customFormat="1" ht="12.75">
      <c r="A111" s="79"/>
      <c r="B111" s="79"/>
      <c r="C111" s="79"/>
      <c r="D111" s="79"/>
      <c r="E111" s="79"/>
      <c r="F111" s="79"/>
      <c r="G111" s="79"/>
      <c r="H111" s="78"/>
    </row>
    <row r="112" spans="1:8" s="65" customFormat="1" ht="15.75">
      <c r="A112" s="105" t="s">
        <v>95</v>
      </c>
      <c r="B112" s="105"/>
      <c r="C112" s="105"/>
      <c r="D112" s="105"/>
      <c r="E112" s="105"/>
      <c r="F112" s="80"/>
      <c r="G112" s="80"/>
      <c r="H112" s="78">
        <f>K30</f>
        <v>8183.99054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78"/>
    </row>
    <row r="114" spans="1:8" s="65" customFormat="1" ht="15.75">
      <c r="A114" s="105" t="s">
        <v>148</v>
      </c>
      <c r="B114" s="105"/>
      <c r="C114" s="105"/>
      <c r="D114" s="105"/>
      <c r="E114" s="105"/>
      <c r="F114" s="105"/>
      <c r="G114" s="105"/>
      <c r="H114" s="81"/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82"/>
    </row>
    <row r="116" spans="1:8" s="65" customFormat="1" ht="15.75">
      <c r="A116" s="80" t="s">
        <v>111</v>
      </c>
      <c r="B116" s="80"/>
      <c r="C116" s="80"/>
      <c r="D116" s="80"/>
      <c r="E116" s="80"/>
      <c r="F116" s="80"/>
      <c r="G116" s="80"/>
      <c r="H116" s="82" t="e">
        <f>M45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105" t="s">
        <v>149</v>
      </c>
      <c r="B118" s="105"/>
      <c r="C118" s="105"/>
      <c r="D118" s="105"/>
      <c r="E118" s="80"/>
      <c r="F118" s="80"/>
      <c r="G118" s="80"/>
      <c r="H118" s="81" t="e">
        <f>M62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83" t="s">
        <v>127</v>
      </c>
      <c r="B120" s="83"/>
      <c r="C120" s="83"/>
      <c r="D120" s="83"/>
      <c r="E120" s="83"/>
      <c r="F120" s="83"/>
      <c r="G120" s="83"/>
      <c r="H120" s="81" t="e">
        <f>M69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150</v>
      </c>
      <c r="B122" s="80"/>
      <c r="C122" s="80"/>
      <c r="D122" s="80"/>
      <c r="E122" s="80"/>
      <c r="F122" s="84"/>
      <c r="G122" s="84"/>
      <c r="H122" s="81" t="e">
        <f>L79</f>
        <v>#REF!</v>
      </c>
    </row>
    <row r="123" s="65" customFormat="1" ht="12.75"/>
    <row r="124" s="65" customFormat="1" ht="12.75"/>
    <row r="125" s="65" customFormat="1" ht="12.75">
      <c r="H125" s="65" t="s">
        <v>151</v>
      </c>
    </row>
    <row r="126" s="65" customFormat="1" ht="12.75">
      <c r="H126" s="65" t="s">
        <v>146</v>
      </c>
    </row>
    <row r="127" s="65" customFormat="1" ht="12.75">
      <c r="H127" s="65" t="s">
        <v>152</v>
      </c>
    </row>
    <row r="128" s="65" customFormat="1" ht="12.75"/>
    <row r="129" s="65" customFormat="1" ht="12.75"/>
    <row r="130" s="65" customFormat="1" ht="12.75">
      <c r="F130" s="65" t="s">
        <v>153</v>
      </c>
    </row>
    <row r="131" s="65" customFormat="1" ht="12.75">
      <c r="D131" s="65" t="s">
        <v>154</v>
      </c>
    </row>
    <row r="132" s="65" customFormat="1" ht="12.75">
      <c r="D132" s="65" t="s">
        <v>155</v>
      </c>
    </row>
    <row r="133" spans="6:13" s="65" customFormat="1" ht="12.75">
      <c r="F133" s="65" t="s">
        <v>156</v>
      </c>
      <c r="M133" s="65" t="s">
        <v>157</v>
      </c>
    </row>
    <row r="134" s="65" customFormat="1" ht="12.75">
      <c r="M134" s="65" t="s">
        <v>158</v>
      </c>
    </row>
    <row r="135" spans="1:13" s="65" customFormat="1" ht="12.75">
      <c r="A135" s="65" t="s">
        <v>159</v>
      </c>
      <c r="B135" s="65" t="s">
        <v>160</v>
      </c>
      <c r="D135" s="65" t="s">
        <v>161</v>
      </c>
      <c r="F135" s="65" t="s">
        <v>162</v>
      </c>
      <c r="G135" s="65" t="s">
        <v>163</v>
      </c>
      <c r="H135" s="65" t="s">
        <v>164</v>
      </c>
      <c r="J135" s="65" t="s">
        <v>165</v>
      </c>
      <c r="M135" s="73" t="s">
        <v>166</v>
      </c>
    </row>
    <row r="136" spans="1:14" s="65" customFormat="1" ht="12.75">
      <c r="A136" s="65" t="s">
        <v>167</v>
      </c>
      <c r="B136" s="65" t="s">
        <v>168</v>
      </c>
      <c r="D136" s="65" t="s">
        <v>169</v>
      </c>
      <c r="F136" s="65" t="s">
        <v>170</v>
      </c>
      <c r="G136" s="65" t="s">
        <v>171</v>
      </c>
      <c r="H136" s="65" t="s">
        <v>172</v>
      </c>
      <c r="J136" s="65" t="s">
        <v>173</v>
      </c>
      <c r="M136" s="65" t="s">
        <v>174</v>
      </c>
      <c r="N136" s="65">
        <v>4699.4</v>
      </c>
    </row>
    <row r="137" spans="8:9" s="65" customFormat="1" ht="12.75">
      <c r="H137" s="65" t="s">
        <v>175</v>
      </c>
      <c r="I137" s="65" t="s">
        <v>176</v>
      </c>
    </row>
    <row r="138" spans="8:13" s="65" customFormat="1" ht="12.75">
      <c r="H138" s="65" t="s">
        <v>170</v>
      </c>
      <c r="I138" s="65" t="s">
        <v>177</v>
      </c>
      <c r="M138" s="65" t="s">
        <v>178</v>
      </c>
    </row>
    <row r="139" spans="9:13" s="65" customFormat="1" ht="12.75">
      <c r="I139" s="65" t="s">
        <v>179</v>
      </c>
      <c r="M139" s="65" t="s">
        <v>158</v>
      </c>
    </row>
    <row r="140" s="65" customFormat="1" ht="12.75">
      <c r="M140" s="73" t="s">
        <v>166</v>
      </c>
    </row>
    <row r="141" spans="1:14" s="65" customFormat="1" ht="12.75">
      <c r="A141" s="65" t="s">
        <v>180</v>
      </c>
      <c r="B141" s="65" t="s">
        <v>181</v>
      </c>
      <c r="D141" s="65" t="s">
        <v>182</v>
      </c>
      <c r="M141" s="65" t="s">
        <v>174</v>
      </c>
      <c r="N141" s="65">
        <v>1110.3</v>
      </c>
    </row>
    <row r="142" spans="2:4" s="65" customFormat="1" ht="12.75">
      <c r="B142" s="65" t="s">
        <v>183</v>
      </c>
      <c r="D142" s="65" t="s">
        <v>184</v>
      </c>
    </row>
    <row r="143" spans="2:13" s="65" customFormat="1" ht="12.75">
      <c r="B143" s="65" t="s">
        <v>185</v>
      </c>
      <c r="D143" s="65" t="s">
        <v>186</v>
      </c>
      <c r="M143" s="65" t="s">
        <v>187</v>
      </c>
    </row>
    <row r="144" spans="2:13" s="65" customFormat="1" ht="12.75">
      <c r="B144" s="65" t="s">
        <v>188</v>
      </c>
      <c r="D144" s="65" t="s">
        <v>189</v>
      </c>
      <c r="M144" s="65" t="s">
        <v>158</v>
      </c>
    </row>
    <row r="145" spans="2:13" s="65" customFormat="1" ht="12.75">
      <c r="B145" s="65" t="s">
        <v>190</v>
      </c>
      <c r="M145" s="73" t="s">
        <v>166</v>
      </c>
    </row>
    <row r="146" spans="4:14" s="65" customFormat="1" ht="12.75">
      <c r="D146" s="65" t="s">
        <v>191</v>
      </c>
      <c r="M146" s="65" t="s">
        <v>174</v>
      </c>
      <c r="N146" s="65">
        <v>888.2</v>
      </c>
    </row>
    <row r="147" spans="4:6" s="65" customFormat="1" ht="12.75">
      <c r="D147" s="65" t="s">
        <v>192</v>
      </c>
      <c r="F147" s="65" t="s">
        <v>193</v>
      </c>
    </row>
    <row r="148" spans="4:13" s="65" customFormat="1" ht="12.75">
      <c r="D148" s="65" t="s">
        <v>158</v>
      </c>
      <c r="F148" s="65" t="s">
        <v>194</v>
      </c>
      <c r="H148" s="65">
        <v>0.0687</v>
      </c>
      <c r="I148" s="65">
        <v>0</v>
      </c>
      <c r="K148" s="65">
        <f>N139/1000*H148</f>
        <v>0</v>
      </c>
      <c r="M148" s="65" t="s">
        <v>195</v>
      </c>
    </row>
    <row r="149" spans="4:13" s="65" customFormat="1" ht="12.75">
      <c r="D149" s="65" t="s">
        <v>196</v>
      </c>
      <c r="F149" s="65" t="s">
        <v>197</v>
      </c>
      <c r="H149" s="65">
        <v>0.0763</v>
      </c>
      <c r="I149" s="65">
        <v>0</v>
      </c>
      <c r="K149" s="65">
        <f>N140/1000*H149</f>
        <v>0</v>
      </c>
      <c r="M149" s="65" t="s">
        <v>158</v>
      </c>
    </row>
    <row r="150" spans="4:13" s="65" customFormat="1" ht="12.75">
      <c r="D150" s="65" t="s">
        <v>198</v>
      </c>
      <c r="F150" s="65" t="s">
        <v>199</v>
      </c>
      <c r="H150" s="65">
        <v>0.0839</v>
      </c>
      <c r="I150" s="65">
        <v>0</v>
      </c>
      <c r="K150" s="69">
        <f>N141/1000*H150</f>
        <v>0.09315417000000001</v>
      </c>
      <c r="M150" s="73" t="s">
        <v>166</v>
      </c>
    </row>
    <row r="151" spans="6:13" s="65" customFormat="1" ht="12.75">
      <c r="F151" s="65" t="s">
        <v>200</v>
      </c>
      <c r="M151" s="65" t="s">
        <v>174</v>
      </c>
    </row>
    <row r="152" s="65" customFormat="1" ht="12.75">
      <c r="F152" s="65" t="s">
        <v>190</v>
      </c>
    </row>
    <row r="153" spans="5:9" s="65" customFormat="1" ht="12.75">
      <c r="E153" s="65" t="s">
        <v>201</v>
      </c>
      <c r="I153" s="65">
        <v>0</v>
      </c>
    </row>
    <row r="154" spans="2:4" s="65" customFormat="1" ht="12.75">
      <c r="B154" s="65" t="s">
        <v>202</v>
      </c>
      <c r="D154" s="65" t="s">
        <v>203</v>
      </c>
    </row>
    <row r="155" s="65" customFormat="1" ht="12.75">
      <c r="D155" s="65" t="s">
        <v>204</v>
      </c>
    </row>
    <row r="156" s="65" customFormat="1" ht="12.75">
      <c r="D156" s="65" t="s">
        <v>205</v>
      </c>
    </row>
    <row r="157" s="65" customFormat="1" ht="12.75">
      <c r="D157" s="65" t="s">
        <v>191</v>
      </c>
    </row>
    <row r="158" spans="4:11" s="65" customFormat="1" ht="12.75">
      <c r="D158" s="65" t="s">
        <v>158</v>
      </c>
      <c r="H158" s="65">
        <v>0.00338</v>
      </c>
      <c r="K158" s="69">
        <f>N162/1000*H158</f>
        <v>0</v>
      </c>
    </row>
    <row r="159" spans="4:11" s="65" customFormat="1" ht="12.75">
      <c r="D159" s="65" t="s">
        <v>196</v>
      </c>
      <c r="H159" s="65">
        <v>0.00376</v>
      </c>
      <c r="K159" s="69">
        <f>N163/1000*H159</f>
        <v>0</v>
      </c>
    </row>
    <row r="160" spans="4:11" s="65" customFormat="1" ht="12.75">
      <c r="D160" s="65" t="s">
        <v>198</v>
      </c>
      <c r="H160" s="65">
        <v>0.00414</v>
      </c>
      <c r="K160" s="69">
        <f>N164/1000*H160</f>
        <v>0.019455515999999996</v>
      </c>
    </row>
    <row r="161" s="65" customFormat="1" ht="12.75">
      <c r="M161" s="65" t="s">
        <v>206</v>
      </c>
    </row>
    <row r="162" spans="1:13" s="65" customFormat="1" ht="12.75">
      <c r="A162" s="65" t="s">
        <v>207</v>
      </c>
      <c r="B162" s="65" t="s">
        <v>208</v>
      </c>
      <c r="D162" s="65" t="s">
        <v>203</v>
      </c>
      <c r="M162" s="65" t="s">
        <v>158</v>
      </c>
    </row>
    <row r="163" spans="4:13" s="65" customFormat="1" ht="12.75">
      <c r="D163" s="65" t="s">
        <v>209</v>
      </c>
      <c r="M163" s="73" t="s">
        <v>166</v>
      </c>
    </row>
    <row r="164" spans="4:14" s="65" customFormat="1" ht="12.75">
      <c r="D164" s="65" t="s">
        <v>191</v>
      </c>
      <c r="M164" s="65" t="s">
        <v>174</v>
      </c>
      <c r="N164" s="65">
        <f>N136</f>
        <v>4699.4</v>
      </c>
    </row>
    <row r="165" spans="4:11" s="65" customFormat="1" ht="12.75">
      <c r="D165" s="65" t="s">
        <v>158</v>
      </c>
      <c r="H165" s="65">
        <v>0.02043</v>
      </c>
      <c r="I165" s="65">
        <v>0</v>
      </c>
      <c r="K165" s="65">
        <f>N149/1000*H165</f>
        <v>0</v>
      </c>
    </row>
    <row r="166" spans="4:13" s="65" customFormat="1" ht="12.75">
      <c r="D166" s="65" t="s">
        <v>196</v>
      </c>
      <c r="H166" s="65">
        <v>0.0227</v>
      </c>
      <c r="I166" s="65">
        <v>0</v>
      </c>
      <c r="K166" s="65">
        <f>N150/1000*H166</f>
        <v>0</v>
      </c>
      <c r="M166" s="65" t="s">
        <v>210</v>
      </c>
    </row>
    <row r="167" spans="4:13" s="65" customFormat="1" ht="12.75">
      <c r="D167" s="65" t="s">
        <v>198</v>
      </c>
      <c r="H167" s="65">
        <v>0.02497</v>
      </c>
      <c r="I167" s="65">
        <v>0</v>
      </c>
      <c r="K167" s="65">
        <f>N151/1000*H167</f>
        <v>0</v>
      </c>
      <c r="M167" s="65" t="s">
        <v>158</v>
      </c>
    </row>
    <row r="168" spans="4:13" s="65" customFormat="1" ht="12.75">
      <c r="D168" s="65" t="s">
        <v>211</v>
      </c>
      <c r="M168" s="73" t="s">
        <v>166</v>
      </c>
    </row>
    <row r="169" spans="4:14" s="65" customFormat="1" ht="12.75">
      <c r="D169" s="65" t="s">
        <v>191</v>
      </c>
      <c r="M169" s="65" t="s">
        <v>174</v>
      </c>
      <c r="N169" s="65">
        <v>90</v>
      </c>
    </row>
    <row r="170" spans="4:6" s="65" customFormat="1" ht="12.75">
      <c r="D170" s="65" t="s">
        <v>192</v>
      </c>
      <c r="F170" s="65" t="s">
        <v>193</v>
      </c>
    </row>
    <row r="171" spans="4:11" s="65" customFormat="1" ht="12.75">
      <c r="D171" s="65" t="s">
        <v>158</v>
      </c>
      <c r="H171" s="65">
        <v>0.00999</v>
      </c>
      <c r="K171" s="69">
        <f>N134/1000*H171</f>
        <v>0</v>
      </c>
    </row>
    <row r="172" spans="4:11" s="65" customFormat="1" ht="12.75">
      <c r="D172" s="65" t="s">
        <v>196</v>
      </c>
      <c r="H172" s="65">
        <v>0.0111</v>
      </c>
      <c r="K172" s="69">
        <f>N135/1000*H172</f>
        <v>0</v>
      </c>
    </row>
    <row r="173" spans="4:11" s="65" customFormat="1" ht="12.75">
      <c r="D173" s="65" t="s">
        <v>198</v>
      </c>
      <c r="H173" s="65">
        <v>0.01221</v>
      </c>
      <c r="I173" s="65">
        <v>0</v>
      </c>
      <c r="K173" s="69">
        <f>N136/1000*H173</f>
        <v>0.057379674</v>
      </c>
    </row>
    <row r="174" s="65" customFormat="1" ht="12.75">
      <c r="I174" s="65">
        <v>0</v>
      </c>
    </row>
    <row r="175" spans="5:9" s="65" customFormat="1" ht="12.75">
      <c r="E175" s="65" t="s">
        <v>201</v>
      </c>
      <c r="G175" s="65">
        <v>0</v>
      </c>
      <c r="I175" s="65">
        <v>0</v>
      </c>
    </row>
    <row r="176" spans="1:6" s="65" customFormat="1" ht="12.75">
      <c r="A176" s="65" t="s">
        <v>212</v>
      </c>
      <c r="B176" s="65" t="s">
        <v>213</v>
      </c>
      <c r="D176" s="65" t="s">
        <v>203</v>
      </c>
      <c r="F176" s="65" t="s">
        <v>193</v>
      </c>
    </row>
    <row r="177" spans="2:6" s="65" customFormat="1" ht="12.75">
      <c r="B177" s="65" t="s">
        <v>214</v>
      </c>
      <c r="D177" s="65" t="s">
        <v>209</v>
      </c>
      <c r="F177" s="65" t="s">
        <v>215</v>
      </c>
    </row>
    <row r="178" spans="4:6" s="65" customFormat="1" ht="12.75">
      <c r="D178" s="65" t="s">
        <v>191</v>
      </c>
      <c r="F178" s="65" t="s">
        <v>216</v>
      </c>
    </row>
    <row r="179" spans="4:11" s="65" customFormat="1" ht="12.75">
      <c r="D179" s="65" t="s">
        <v>158</v>
      </c>
      <c r="H179" s="65">
        <v>0.018432</v>
      </c>
      <c r="I179" s="65">
        <v>0</v>
      </c>
      <c r="K179" s="65">
        <f>N149/1000*H179</f>
        <v>0</v>
      </c>
    </row>
    <row r="180" spans="4:11" s="65" customFormat="1" ht="12.75">
      <c r="D180" s="65" t="s">
        <v>196</v>
      </c>
      <c r="H180" s="65">
        <v>0.02048</v>
      </c>
      <c r="I180" s="65">
        <v>0</v>
      </c>
      <c r="K180" s="65">
        <f>N150/1000*H180</f>
        <v>0</v>
      </c>
    </row>
    <row r="181" spans="4:11" s="65" customFormat="1" ht="12.75">
      <c r="D181" s="65" t="s">
        <v>198</v>
      </c>
      <c r="K181" s="65">
        <f>N151/1000*H181</f>
        <v>0</v>
      </c>
    </row>
    <row r="182" s="65" customFormat="1" ht="12.75">
      <c r="D182" s="65" t="s">
        <v>211</v>
      </c>
    </row>
    <row r="183" s="65" customFormat="1" ht="12.75">
      <c r="D183" s="65" t="s">
        <v>191</v>
      </c>
    </row>
    <row r="184" s="65" customFormat="1" ht="12.75">
      <c r="D184" s="65" t="s">
        <v>192</v>
      </c>
    </row>
    <row r="185" spans="4:11" s="65" customFormat="1" ht="12.75">
      <c r="D185" s="65" t="s">
        <v>158</v>
      </c>
      <c r="K185" s="69">
        <f>N134/1000*H185</f>
        <v>0</v>
      </c>
    </row>
    <row r="186" spans="4:11" s="65" customFormat="1" ht="12.75">
      <c r="D186" s="65" t="s">
        <v>196</v>
      </c>
      <c r="H186" s="65">
        <v>0.02295</v>
      </c>
      <c r="I186" s="65">
        <v>0</v>
      </c>
      <c r="K186" s="69">
        <f>N135/1000*H186</f>
        <v>0</v>
      </c>
    </row>
    <row r="187" spans="4:11" s="65" customFormat="1" ht="12.75">
      <c r="D187" s="65" t="s">
        <v>198</v>
      </c>
      <c r="H187" s="65">
        <v>0.025245</v>
      </c>
      <c r="I187" s="65">
        <v>0</v>
      </c>
      <c r="K187" s="69">
        <f>N136/1000*H187</f>
        <v>0.118636353</v>
      </c>
    </row>
    <row r="188" spans="5:11" s="65" customFormat="1" ht="12.75">
      <c r="E188" s="65" t="s">
        <v>201</v>
      </c>
      <c r="G188" s="65">
        <v>0</v>
      </c>
      <c r="I188" s="65">
        <v>0</v>
      </c>
      <c r="K188" s="69"/>
    </row>
    <row r="189" s="65" customFormat="1" ht="12.75">
      <c r="K189" s="69"/>
    </row>
    <row r="190" spans="1:11" s="65" customFormat="1" ht="12.75">
      <c r="A190" s="65" t="s">
        <v>217</v>
      </c>
      <c r="B190" s="65" t="s">
        <v>218</v>
      </c>
      <c r="D190" s="65" t="s">
        <v>203</v>
      </c>
      <c r="K190" s="69"/>
    </row>
    <row r="191" spans="4:11" s="65" customFormat="1" ht="12.75">
      <c r="D191" s="65" t="s">
        <v>209</v>
      </c>
      <c r="K191" s="69"/>
    </row>
    <row r="192" spans="4:11" s="65" customFormat="1" ht="12.75">
      <c r="D192" s="65" t="s">
        <v>191</v>
      </c>
      <c r="K192" s="69"/>
    </row>
    <row r="193" spans="4:11" s="65" customFormat="1" ht="12.75">
      <c r="D193" s="65" t="s">
        <v>158</v>
      </c>
      <c r="H193" s="65">
        <v>0.027585</v>
      </c>
      <c r="I193" s="65">
        <v>0</v>
      </c>
      <c r="K193" s="69">
        <f>N149/1000*H193</f>
        <v>0</v>
      </c>
    </row>
    <row r="194" spans="4:11" s="65" customFormat="1" ht="12.75">
      <c r="D194" s="65" t="s">
        <v>196</v>
      </c>
      <c r="H194" s="65">
        <v>0.3065</v>
      </c>
      <c r="I194" s="65">
        <v>0</v>
      </c>
      <c r="K194" s="69">
        <f>N150/1000*H194</f>
        <v>0</v>
      </c>
    </row>
    <row r="195" spans="4:11" s="65" customFormat="1" ht="12.75">
      <c r="D195" s="65" t="s">
        <v>198</v>
      </c>
      <c r="K195" s="69">
        <f>N151/1000*H195</f>
        <v>0</v>
      </c>
    </row>
    <row r="196" spans="4:11" s="65" customFormat="1" ht="12.75">
      <c r="D196" s="65" t="s">
        <v>211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192</v>
      </c>
      <c r="K198" s="69"/>
    </row>
    <row r="199" spans="4:11" s="65" customFormat="1" ht="12.75">
      <c r="D199" s="65" t="s">
        <v>158</v>
      </c>
      <c r="K199" s="69">
        <f>N134/1000*H199</f>
        <v>0</v>
      </c>
    </row>
    <row r="200" spans="4:11" s="65" customFormat="1" ht="12.75">
      <c r="D200" s="65" t="s">
        <v>196</v>
      </c>
      <c r="H200" s="65">
        <v>0.00539</v>
      </c>
      <c r="I200" s="65">
        <v>0</v>
      </c>
      <c r="K200" s="69">
        <f>N135/1000*H200</f>
        <v>0</v>
      </c>
    </row>
    <row r="201" spans="4:11" s="65" customFormat="1" ht="12.75">
      <c r="D201" s="65" t="s">
        <v>198</v>
      </c>
      <c r="H201" s="65">
        <v>0.005929</v>
      </c>
      <c r="I201" s="65">
        <v>0</v>
      </c>
      <c r="K201" s="69">
        <f>N136/1000*H201</f>
        <v>0.0278627426</v>
      </c>
    </row>
    <row r="202" spans="5:11" s="65" customFormat="1" ht="12.75">
      <c r="E202" s="65" t="s">
        <v>201</v>
      </c>
      <c r="G202" s="65">
        <v>0</v>
      </c>
      <c r="I202" s="65">
        <v>0</v>
      </c>
      <c r="K202" s="69"/>
    </row>
    <row r="203" s="65" customFormat="1" ht="12.75">
      <c r="K203" s="69"/>
    </row>
    <row r="204" spans="1:11" s="65" customFormat="1" ht="12.75">
      <c r="A204" s="65" t="s">
        <v>219</v>
      </c>
      <c r="B204" s="65" t="s">
        <v>220</v>
      </c>
      <c r="D204" s="65" t="s">
        <v>203</v>
      </c>
      <c r="K204" s="69"/>
    </row>
    <row r="205" spans="2:11" s="65" customFormat="1" ht="12.75">
      <c r="B205" s="65" t="s">
        <v>214</v>
      </c>
      <c r="D205" s="65" t="s">
        <v>209</v>
      </c>
      <c r="K205" s="69"/>
    </row>
    <row r="206" spans="4:11" s="65" customFormat="1" ht="12.75">
      <c r="D206" s="65" t="s">
        <v>191</v>
      </c>
      <c r="K206" s="69"/>
    </row>
    <row r="207" spans="4:11" s="65" customFormat="1" ht="12.75">
      <c r="D207" s="65" t="s">
        <v>158</v>
      </c>
      <c r="H207" s="65">
        <v>0.022437</v>
      </c>
      <c r="I207" s="65">
        <v>0</v>
      </c>
      <c r="K207" s="69">
        <f>N149/1000*H207</f>
        <v>0</v>
      </c>
    </row>
    <row r="208" spans="4:11" s="65" customFormat="1" ht="12.75">
      <c r="D208" s="65" t="s">
        <v>196</v>
      </c>
      <c r="H208" s="65">
        <v>0.02493</v>
      </c>
      <c r="I208" s="65">
        <v>0</v>
      </c>
      <c r="K208" s="69">
        <f>N150/1000*H208</f>
        <v>0</v>
      </c>
    </row>
    <row r="209" spans="4:11" s="65" customFormat="1" ht="12.75">
      <c r="D209" s="65" t="s">
        <v>198</v>
      </c>
      <c r="K209" s="65">
        <f>N151/1000*H209</f>
        <v>0</v>
      </c>
    </row>
    <row r="210" s="65" customFormat="1" ht="12.75">
      <c r="D210" s="65" t="s">
        <v>211</v>
      </c>
    </row>
    <row r="211" s="65" customFormat="1" ht="12.75">
      <c r="D211" s="65" t="s">
        <v>191</v>
      </c>
    </row>
    <row r="212" s="65" customFormat="1" ht="12.75">
      <c r="D212" s="65" t="s">
        <v>192</v>
      </c>
    </row>
    <row r="213" spans="4:11" s="65" customFormat="1" ht="12.75">
      <c r="D213" s="65" t="s">
        <v>158</v>
      </c>
      <c r="K213" s="69">
        <f>N134/1000*H213</f>
        <v>0</v>
      </c>
    </row>
    <row r="214" spans="4:11" s="65" customFormat="1" ht="12.75">
      <c r="D214" s="65" t="s">
        <v>196</v>
      </c>
      <c r="H214" s="65">
        <v>0.00888</v>
      </c>
      <c r="I214" s="65">
        <v>0</v>
      </c>
      <c r="K214" s="69">
        <f>N135/1000*H214</f>
        <v>0</v>
      </c>
    </row>
    <row r="215" spans="4:11" s="65" customFormat="1" ht="12.75">
      <c r="D215" s="65" t="s">
        <v>198</v>
      </c>
      <c r="H215" s="65">
        <v>0.009768</v>
      </c>
      <c r="I215" s="65">
        <v>0</v>
      </c>
      <c r="K215" s="69">
        <f>N136/1000*H215</f>
        <v>0.0459037392</v>
      </c>
    </row>
    <row r="216" spans="5:11" s="65" customFormat="1" ht="12.75">
      <c r="E216" s="65" t="s">
        <v>201</v>
      </c>
      <c r="G216" s="65">
        <v>0</v>
      </c>
      <c r="I216" s="65">
        <v>0</v>
      </c>
      <c r="K216" s="69"/>
    </row>
    <row r="217" s="65" customFormat="1" ht="12.75">
      <c r="K217" s="69"/>
    </row>
    <row r="218" spans="2:4" s="65" customFormat="1" ht="12.75">
      <c r="B218" s="65" t="s">
        <v>221</v>
      </c>
      <c r="D218" s="65" t="s">
        <v>203</v>
      </c>
    </row>
    <row r="219" s="65" customFormat="1" ht="12.75">
      <c r="D219" s="65" t="s">
        <v>204</v>
      </c>
    </row>
    <row r="220" s="65" customFormat="1" ht="12.75">
      <c r="D220" s="65" t="s">
        <v>205</v>
      </c>
    </row>
    <row r="221" s="65" customFormat="1" ht="12.75">
      <c r="D221" s="65" t="s">
        <v>191</v>
      </c>
    </row>
    <row r="222" spans="4:11" s="65" customFormat="1" ht="12.75">
      <c r="D222" s="65" t="s">
        <v>158</v>
      </c>
      <c r="H222" s="65">
        <v>0.0243</v>
      </c>
      <c r="K222" s="69">
        <f>N162/1000*H222</f>
        <v>0</v>
      </c>
    </row>
    <row r="223" spans="4:11" s="65" customFormat="1" ht="12.75">
      <c r="D223" s="65" t="s">
        <v>196</v>
      </c>
      <c r="H223" s="65">
        <v>0.027</v>
      </c>
      <c r="K223" s="69">
        <f>N163/1000*H223</f>
        <v>0</v>
      </c>
    </row>
    <row r="224" spans="4:11" s="65" customFormat="1" ht="12.75">
      <c r="D224" s="65" t="s">
        <v>198</v>
      </c>
      <c r="H224" s="65">
        <v>0.0297</v>
      </c>
      <c r="K224" s="69">
        <f>N164/1000*H224</f>
        <v>0.13957218</v>
      </c>
    </row>
    <row r="225" spans="1:11" s="65" customFormat="1" ht="12.75">
      <c r="A225" s="65" t="s">
        <v>222</v>
      </c>
      <c r="B225" s="65" t="s">
        <v>223</v>
      </c>
      <c r="D225" s="65" t="s">
        <v>203</v>
      </c>
      <c r="K225" s="69"/>
    </row>
    <row r="226" spans="4:11" s="65" customFormat="1" ht="12.75">
      <c r="D226" s="65" t="s">
        <v>209</v>
      </c>
      <c r="K226" s="69"/>
    </row>
    <row r="227" spans="4:11" s="65" customFormat="1" ht="12.75">
      <c r="D227" s="65" t="s">
        <v>191</v>
      </c>
      <c r="K227" s="69"/>
    </row>
    <row r="228" spans="4:11" s="65" customFormat="1" ht="12.75">
      <c r="D228" s="65" t="s">
        <v>158</v>
      </c>
      <c r="H228" s="65">
        <v>0.01773</v>
      </c>
      <c r="I228" s="65">
        <v>0</v>
      </c>
      <c r="K228" s="69">
        <f>N149/1000*H228</f>
        <v>0</v>
      </c>
    </row>
    <row r="229" spans="4:11" s="65" customFormat="1" ht="12.75">
      <c r="D229" s="65" t="s">
        <v>196</v>
      </c>
      <c r="H229" s="65">
        <v>0.0197</v>
      </c>
      <c r="I229" s="65">
        <v>0</v>
      </c>
      <c r="K229" s="69">
        <f>N150/1000*H229</f>
        <v>0</v>
      </c>
    </row>
    <row r="230" spans="4:11" s="65" customFormat="1" ht="12.75">
      <c r="D230" s="65" t="s">
        <v>198</v>
      </c>
      <c r="K230" s="69">
        <f>N151/1000*H230</f>
        <v>0</v>
      </c>
    </row>
    <row r="231" spans="4:11" s="65" customFormat="1" ht="12.75">
      <c r="D231" s="65" t="s">
        <v>211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192</v>
      </c>
      <c r="K233" s="69"/>
    </row>
    <row r="234" spans="4:11" s="65" customFormat="1" ht="12.75">
      <c r="D234" s="65" t="s">
        <v>158</v>
      </c>
      <c r="K234" s="69">
        <f>N134/1000*H234</f>
        <v>0</v>
      </c>
    </row>
    <row r="235" spans="4:11" s="65" customFormat="1" ht="12.75">
      <c r="D235" s="65" t="s">
        <v>196</v>
      </c>
      <c r="H235" s="65">
        <v>0.0018</v>
      </c>
      <c r="I235" s="65">
        <v>0</v>
      </c>
      <c r="K235" s="69">
        <f>N135/1000*H235</f>
        <v>0</v>
      </c>
    </row>
    <row r="236" spans="4:11" s="65" customFormat="1" ht="12.75">
      <c r="D236" s="65" t="s">
        <v>198</v>
      </c>
      <c r="H236" s="65">
        <v>0.00198</v>
      </c>
      <c r="I236" s="65">
        <v>0</v>
      </c>
      <c r="K236" s="69">
        <f>N136/1000*H236</f>
        <v>0.009304811999999999</v>
      </c>
    </row>
    <row r="237" spans="5:11" s="65" customFormat="1" ht="12.75">
      <c r="E237" s="65" t="s">
        <v>201</v>
      </c>
      <c r="G237" s="65">
        <v>0</v>
      </c>
      <c r="I237" s="65">
        <v>0</v>
      </c>
      <c r="K237" s="69"/>
    </row>
    <row r="238" s="65" customFormat="1" ht="12.75">
      <c r="K238" s="69"/>
    </row>
    <row r="239" spans="2:7" s="65" customFormat="1" ht="12.75">
      <c r="B239" s="65" t="s">
        <v>224</v>
      </c>
      <c r="D239" s="65" t="s">
        <v>203</v>
      </c>
      <c r="G239" s="65" t="s">
        <v>225</v>
      </c>
    </row>
    <row r="240" spans="4:7" s="65" customFormat="1" ht="12.75">
      <c r="D240" s="65" t="s">
        <v>204</v>
      </c>
      <c r="G240" s="65" t="s">
        <v>226</v>
      </c>
    </row>
    <row r="241" spans="4:7" s="65" customFormat="1" ht="12.75">
      <c r="D241" s="65" t="s">
        <v>205</v>
      </c>
      <c r="G241" s="65" t="s">
        <v>227</v>
      </c>
    </row>
    <row r="242" s="65" customFormat="1" ht="12.75">
      <c r="D242" s="65" t="s">
        <v>191</v>
      </c>
    </row>
    <row r="243" spans="4:11" s="65" customFormat="1" ht="12.75">
      <c r="D243" s="65" t="s">
        <v>158</v>
      </c>
      <c r="H243" s="65">
        <v>0.02367</v>
      </c>
      <c r="K243" s="69">
        <f>N144/1000*H243</f>
        <v>0</v>
      </c>
    </row>
    <row r="244" spans="4:11" s="65" customFormat="1" ht="12.75">
      <c r="D244" s="65" t="s">
        <v>196</v>
      </c>
      <c r="H244" s="65">
        <v>0.0263</v>
      </c>
      <c r="K244" s="69">
        <f>N145/1000*H244</f>
        <v>0</v>
      </c>
    </row>
    <row r="245" spans="4:11" s="65" customFormat="1" ht="12.75">
      <c r="D245" s="65" t="s">
        <v>198</v>
      </c>
      <c r="H245" s="65">
        <v>0.02893</v>
      </c>
      <c r="K245" s="69">
        <f>N146/1000*H245</f>
        <v>0.025695626000000003</v>
      </c>
    </row>
    <row r="246" s="65" customFormat="1" ht="12.75">
      <c r="K246" s="69"/>
    </row>
    <row r="247" spans="1:11" s="65" customFormat="1" ht="12.75">
      <c r="A247" s="65" t="s">
        <v>228</v>
      </c>
      <c r="B247" s="65" t="s">
        <v>229</v>
      </c>
      <c r="D247" s="65" t="s">
        <v>203</v>
      </c>
      <c r="K247" s="69"/>
    </row>
    <row r="248" spans="2:11" s="65" customFormat="1" ht="12.75">
      <c r="B248" s="65" t="s">
        <v>230</v>
      </c>
      <c r="D248" s="65" t="s">
        <v>209</v>
      </c>
      <c r="K248" s="69"/>
    </row>
    <row r="249" spans="4:11" s="65" customFormat="1" ht="12.75">
      <c r="D249" s="65" t="s">
        <v>191</v>
      </c>
      <c r="K249" s="69"/>
    </row>
    <row r="250" spans="4:11" s="65" customFormat="1" ht="12.75">
      <c r="D250" s="65" t="s">
        <v>158</v>
      </c>
      <c r="H250" s="65">
        <v>0.014679</v>
      </c>
      <c r="I250" s="65">
        <v>0</v>
      </c>
      <c r="K250" s="69">
        <f>N149/1000*H250</f>
        <v>0</v>
      </c>
    </row>
    <row r="251" spans="4:11" s="65" customFormat="1" ht="12.75">
      <c r="D251" s="65" t="s">
        <v>196</v>
      </c>
      <c r="H251" s="65">
        <v>0.01631</v>
      </c>
      <c r="I251" s="65">
        <v>0</v>
      </c>
      <c r="K251" s="69">
        <f>N150/1000*H251</f>
        <v>0</v>
      </c>
    </row>
    <row r="252" spans="4:11" s="65" customFormat="1" ht="12.75">
      <c r="D252" s="65" t="s">
        <v>198</v>
      </c>
      <c r="K252" s="69">
        <f>N151/1000*H252</f>
        <v>0</v>
      </c>
    </row>
    <row r="253" spans="4:11" s="65" customFormat="1" ht="12.75">
      <c r="D253" s="65" t="s">
        <v>211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192</v>
      </c>
      <c r="K255" s="69"/>
    </row>
    <row r="256" spans="4:11" s="65" customFormat="1" ht="12.75">
      <c r="D256" s="65" t="s">
        <v>158</v>
      </c>
      <c r="K256" s="69">
        <f>N134/1000*H256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N135/1000*H257</f>
        <v>0</v>
      </c>
    </row>
    <row r="258" spans="4:11" s="65" customFormat="1" ht="12.75">
      <c r="D258" s="65" t="s">
        <v>198</v>
      </c>
      <c r="H258" s="65">
        <v>0.017941</v>
      </c>
      <c r="I258" s="65">
        <v>0</v>
      </c>
      <c r="K258" s="69">
        <f>N136/1000*H258</f>
        <v>0.0843119354</v>
      </c>
    </row>
    <row r="259" spans="5:11" s="65" customFormat="1" ht="12.75">
      <c r="E259" s="65" t="s">
        <v>201</v>
      </c>
      <c r="G259" s="65">
        <v>0</v>
      </c>
      <c r="I259" s="65">
        <v>0</v>
      </c>
      <c r="K259" s="69"/>
    </row>
    <row r="260" s="65" customFormat="1" ht="12.75">
      <c r="K260" s="69"/>
    </row>
    <row r="261" spans="1:11" s="65" customFormat="1" ht="12.75">
      <c r="A261" s="65" t="s">
        <v>231</v>
      </c>
      <c r="B261" s="65" t="s">
        <v>232</v>
      </c>
      <c r="D261" s="65" t="s">
        <v>203</v>
      </c>
      <c r="K261" s="69"/>
    </row>
    <row r="262" spans="2:11" s="65" customFormat="1" ht="12.75">
      <c r="B262" s="65" t="s">
        <v>233</v>
      </c>
      <c r="D262" s="65" t="s">
        <v>211</v>
      </c>
      <c r="K262" s="69"/>
    </row>
    <row r="263" spans="4:11" s="65" customFormat="1" ht="12.75">
      <c r="D263" s="65" t="s">
        <v>209</v>
      </c>
      <c r="K263" s="69"/>
    </row>
    <row r="264" spans="4:11" s="65" customFormat="1" ht="12.75">
      <c r="D264" s="65" t="s">
        <v>234</v>
      </c>
      <c r="K264" s="69"/>
    </row>
    <row r="265" spans="4:11" s="65" customFormat="1" ht="12.75">
      <c r="D265" s="65" t="s">
        <v>235</v>
      </c>
      <c r="F265" s="65" t="s">
        <v>236</v>
      </c>
      <c r="K265" s="69"/>
    </row>
    <row r="266" spans="4:11" s="65" customFormat="1" ht="12.75">
      <c r="D266" s="65" t="s">
        <v>191</v>
      </c>
      <c r="F266" s="65" t="s">
        <v>237</v>
      </c>
      <c r="K266" s="69"/>
    </row>
    <row r="267" spans="4:11" s="65" customFormat="1" ht="12.75">
      <c r="D267" s="65" t="s">
        <v>158</v>
      </c>
      <c r="H267" s="65">
        <v>41000</v>
      </c>
      <c r="I267" s="65">
        <v>0</v>
      </c>
      <c r="K267" s="69">
        <f>N162/H267</f>
        <v>0</v>
      </c>
    </row>
    <row r="268" spans="4:11" s="65" customFormat="1" ht="12.75">
      <c r="D268" s="65" t="s">
        <v>196</v>
      </c>
      <c r="H268" s="65">
        <v>39000</v>
      </c>
      <c r="I268" s="65">
        <v>0</v>
      </c>
      <c r="K268" s="69">
        <f>N163/H268</f>
        <v>0</v>
      </c>
    </row>
    <row r="269" spans="4:11" s="65" customFormat="1" ht="12.75">
      <c r="D269" s="65" t="s">
        <v>198</v>
      </c>
      <c r="H269" s="65">
        <v>37000</v>
      </c>
      <c r="I269" s="65">
        <v>0</v>
      </c>
      <c r="K269" s="69">
        <f>N164/H269</f>
        <v>0.1270108108108108</v>
      </c>
    </row>
    <row r="270" s="65" customFormat="1" ht="12.75">
      <c r="K270" s="69"/>
    </row>
    <row r="271" spans="4:11" s="65" customFormat="1" ht="12.75">
      <c r="D271" s="65" t="s">
        <v>238</v>
      </c>
      <c r="K271" s="69"/>
    </row>
    <row r="272" spans="4:11" s="65" customFormat="1" ht="12.75">
      <c r="D272" s="65" t="s">
        <v>239</v>
      </c>
      <c r="F272" s="65" t="s">
        <v>240</v>
      </c>
      <c r="K272" s="69"/>
    </row>
    <row r="273" spans="4:11" s="65" customFormat="1" ht="12.75">
      <c r="D273" s="65" t="s">
        <v>191</v>
      </c>
      <c r="K273" s="69"/>
    </row>
    <row r="274" spans="4:11" s="65" customFormat="1" ht="12.75">
      <c r="D274" s="65" t="s">
        <v>158</v>
      </c>
      <c r="H274" s="65">
        <v>450</v>
      </c>
      <c r="I274" s="65">
        <v>0</v>
      </c>
      <c r="K274" s="69">
        <f>N167/H274</f>
        <v>0</v>
      </c>
    </row>
    <row r="275" spans="4:11" s="65" customFormat="1" ht="12.75">
      <c r="D275" s="65" t="s">
        <v>196</v>
      </c>
      <c r="H275" s="65">
        <v>375</v>
      </c>
      <c r="I275" s="65">
        <v>0</v>
      </c>
      <c r="K275" s="69">
        <f>N168/H275</f>
        <v>0</v>
      </c>
    </row>
    <row r="276" spans="4:11" s="65" customFormat="1" ht="12.75">
      <c r="D276" s="65" t="s">
        <v>198</v>
      </c>
      <c r="H276" s="65">
        <v>310</v>
      </c>
      <c r="I276" s="65">
        <v>0</v>
      </c>
      <c r="K276" s="69">
        <f>N169/H276</f>
        <v>0.2903225806451613</v>
      </c>
    </row>
    <row r="277" spans="5:11" s="65" customFormat="1" ht="12.75">
      <c r="E277" s="65" t="s">
        <v>201</v>
      </c>
      <c r="G277" s="65">
        <v>0</v>
      </c>
      <c r="I277" s="65">
        <v>0</v>
      </c>
      <c r="K277" s="69"/>
    </row>
    <row r="278" s="65" customFormat="1" ht="12.75">
      <c r="K278" s="69"/>
    </row>
    <row r="279" spans="1:11" s="65" customFormat="1" ht="12.75">
      <c r="A279" s="65" t="s">
        <v>241</v>
      </c>
      <c r="B279" s="65" t="s">
        <v>242</v>
      </c>
      <c r="D279" s="65" t="s">
        <v>243</v>
      </c>
      <c r="K279" s="69"/>
    </row>
    <row r="280" spans="4:11" s="65" customFormat="1" ht="12.75">
      <c r="D280" s="65" t="s">
        <v>244</v>
      </c>
      <c r="F280" s="65" t="s">
        <v>240</v>
      </c>
      <c r="K280" s="69"/>
    </row>
    <row r="281" spans="4:11" s="65" customFormat="1" ht="12.75">
      <c r="D281" s="65" t="s">
        <v>245</v>
      </c>
      <c r="K281" s="69"/>
    </row>
    <row r="282" spans="4:11" s="65" customFormat="1" ht="12.75">
      <c r="D282" s="65" t="s">
        <v>158</v>
      </c>
      <c r="H282" s="65">
        <v>2350</v>
      </c>
      <c r="I282" s="65">
        <v>0</v>
      </c>
      <c r="K282" s="69">
        <f>N167/H282</f>
        <v>0</v>
      </c>
    </row>
    <row r="283" spans="4:11" s="65" customFormat="1" ht="12.75">
      <c r="D283" s="65" t="s">
        <v>196</v>
      </c>
      <c r="H283" s="65">
        <v>2250</v>
      </c>
      <c r="I283" s="65">
        <v>0</v>
      </c>
      <c r="K283" s="69">
        <f>N168/H283</f>
        <v>0</v>
      </c>
    </row>
    <row r="284" spans="4:11" s="65" customFormat="1" ht="12.75">
      <c r="D284" s="65" t="s">
        <v>198</v>
      </c>
      <c r="H284" s="65">
        <v>2200</v>
      </c>
      <c r="I284" s="65">
        <v>0</v>
      </c>
      <c r="K284" s="69">
        <f>N169/H284</f>
        <v>0.04090909090909091</v>
      </c>
    </row>
    <row r="285" spans="5:11" s="65" customFormat="1" ht="12.75">
      <c r="E285" s="65" t="s">
        <v>201</v>
      </c>
      <c r="G285" s="65">
        <v>0</v>
      </c>
      <c r="I285" s="65">
        <v>0</v>
      </c>
      <c r="K285" s="69"/>
    </row>
    <row r="286" s="65" customFormat="1" ht="12.75">
      <c r="K286" s="69">
        <f>K148+K149+K150+K158+K159+K160+K165+K166+K167+K171+K172+K173+K179+K180+K181+K185+K186+K187+K193+K194+K195+K199+K200+K201+K207+K208+K209+K213+K214+K215+K222+K223+K224+K228+K229+K230+K234+K235+K236+K243+K244+K245+K250+K251+K252+K256+K257+K258+K267+K268+K269+K274+K275+K276+K282+K283+K284</f>
        <v>1.0795192305650632</v>
      </c>
    </row>
    <row r="287" spans="1:11" s="65" customFormat="1" ht="12.75">
      <c r="A287" s="65" t="s">
        <v>246</v>
      </c>
      <c r="B287" s="65" t="s">
        <v>247</v>
      </c>
      <c r="F287" s="65" t="s">
        <v>248</v>
      </c>
      <c r="I287" s="65">
        <v>1</v>
      </c>
      <c r="K287" s="69">
        <f>K286*1.12</f>
        <v>1.2090615382328709</v>
      </c>
    </row>
    <row r="288" s="65" customFormat="1" ht="12.75">
      <c r="B288" s="65" t="s">
        <v>249</v>
      </c>
    </row>
    <row r="289" s="65" customFormat="1" ht="12.75">
      <c r="B289" s="65" t="s">
        <v>250</v>
      </c>
    </row>
    <row r="290" s="65" customFormat="1" ht="12.75"/>
    <row r="291" spans="1:9" s="65" customFormat="1" ht="12.75">
      <c r="A291" s="65" t="s">
        <v>251</v>
      </c>
      <c r="B291" s="65" t="s">
        <v>252</v>
      </c>
      <c r="I291" s="65">
        <v>2</v>
      </c>
    </row>
    <row r="292" spans="1:9" s="65" customFormat="1" ht="12.75">
      <c r="A292" s="65" t="s">
        <v>253</v>
      </c>
      <c r="B292" s="65" t="s">
        <v>254</v>
      </c>
      <c r="I292" s="65">
        <v>1</v>
      </c>
    </row>
    <row r="293" spans="1:9" s="65" customFormat="1" ht="12.75">
      <c r="A293" s="65" t="s">
        <v>255</v>
      </c>
      <c r="B293" s="65" t="s">
        <v>256</v>
      </c>
      <c r="I293" s="65">
        <v>1</v>
      </c>
    </row>
    <row r="294" spans="2:9" s="65" customFormat="1" ht="12.75">
      <c r="B294" s="65" t="s">
        <v>257</v>
      </c>
      <c r="I294" s="65">
        <v>5</v>
      </c>
    </row>
    <row r="295" s="65" customFormat="1" ht="12.75">
      <c r="F295" s="65" t="s">
        <v>258</v>
      </c>
    </row>
    <row r="296" spans="1:9" s="65" customFormat="1" ht="12.75">
      <c r="A296" s="65" t="s">
        <v>259</v>
      </c>
      <c r="B296" s="65" t="s">
        <v>260</v>
      </c>
      <c r="E296" s="65" t="s">
        <v>261</v>
      </c>
      <c r="H296" s="65">
        <v>1200</v>
      </c>
      <c r="I296" s="65">
        <f>G296/H296</f>
        <v>0</v>
      </c>
    </row>
    <row r="297" spans="5:9" s="65" customFormat="1" ht="12.75">
      <c r="E297" s="65" t="s">
        <v>262</v>
      </c>
      <c r="G297" s="65">
        <v>868</v>
      </c>
      <c r="H297" s="65">
        <v>1650</v>
      </c>
      <c r="I297" s="69">
        <f>G297/H297</f>
        <v>0.526060606060606</v>
      </c>
    </row>
    <row r="298" spans="5:9" s="65" customFormat="1" ht="12.75">
      <c r="E298" s="65" t="s">
        <v>263</v>
      </c>
      <c r="G298" s="65">
        <v>3572</v>
      </c>
      <c r="H298" s="65">
        <v>9000</v>
      </c>
      <c r="I298" s="69">
        <f>G298/H298</f>
        <v>0.3968888888888889</v>
      </c>
    </row>
    <row r="299" spans="3:9" s="65" customFormat="1" ht="12.75">
      <c r="C299" s="65" t="s">
        <v>201</v>
      </c>
      <c r="G299" s="65">
        <f>G297+G298</f>
        <v>4440</v>
      </c>
      <c r="I299" s="69">
        <f>I296+I297+I298</f>
        <v>0.922949494949495</v>
      </c>
    </row>
    <row r="300" s="65" customFormat="1" ht="12.75">
      <c r="F300" s="65" t="s">
        <v>258</v>
      </c>
    </row>
    <row r="301" spans="1:9" s="65" customFormat="1" ht="12.75">
      <c r="A301" s="65" t="s">
        <v>264</v>
      </c>
      <c r="B301" s="65" t="s">
        <v>265</v>
      </c>
      <c r="E301" s="65" t="s">
        <v>266</v>
      </c>
      <c r="G301" s="65">
        <v>496.5</v>
      </c>
      <c r="H301" s="65">
        <v>800</v>
      </c>
      <c r="I301" s="69">
        <f>G301/H301</f>
        <v>0.620625</v>
      </c>
    </row>
    <row r="302" spans="2:9" s="65" customFormat="1" ht="12.75">
      <c r="B302" s="65" t="s">
        <v>267</v>
      </c>
      <c r="E302" s="65" t="s">
        <v>268</v>
      </c>
      <c r="H302" s="65">
        <v>960</v>
      </c>
      <c r="I302" s="69">
        <f>G302/H302</f>
        <v>0</v>
      </c>
    </row>
    <row r="303" s="65" customFormat="1" ht="12.75">
      <c r="E303" s="65" t="s">
        <v>269</v>
      </c>
    </row>
    <row r="304" spans="3:9" s="65" customFormat="1" ht="12.75">
      <c r="C304" s="65" t="s">
        <v>201</v>
      </c>
      <c r="G304" s="65">
        <f>G301+G302+G303</f>
        <v>496.5</v>
      </c>
      <c r="I304" s="69">
        <f>I301+I302</f>
        <v>0.620625</v>
      </c>
    </row>
    <row r="305" s="65" customFormat="1" ht="12.75">
      <c r="F305" s="65" t="s">
        <v>270</v>
      </c>
    </row>
    <row r="306" spans="1:9" s="65" customFormat="1" ht="12.75">
      <c r="A306" s="65" t="s">
        <v>271</v>
      </c>
      <c r="B306" s="65" t="s">
        <v>272</v>
      </c>
      <c r="E306" s="65" t="s">
        <v>273</v>
      </c>
      <c r="H306" s="65">
        <v>500</v>
      </c>
      <c r="I306" s="69">
        <f>G306/H306</f>
        <v>0</v>
      </c>
    </row>
    <row r="307" spans="5:9" s="65" customFormat="1" ht="12.75">
      <c r="E307" s="65" t="s">
        <v>274</v>
      </c>
      <c r="H307" s="65">
        <v>700</v>
      </c>
      <c r="I307" s="69">
        <f>G307/H307</f>
        <v>0</v>
      </c>
    </row>
    <row r="308" s="65" customFormat="1" ht="12.75">
      <c r="E308" s="65" t="s">
        <v>275</v>
      </c>
    </row>
    <row r="309" spans="3:9" s="65" customFormat="1" ht="12.75">
      <c r="C309" s="65" t="s">
        <v>201</v>
      </c>
      <c r="G309" s="65">
        <f>G306+G307</f>
        <v>0</v>
      </c>
      <c r="I309" s="69">
        <f>I306+I307</f>
        <v>0</v>
      </c>
    </row>
    <row r="310" spans="1:2" s="65" customFormat="1" ht="12.75">
      <c r="A310" s="65" t="s">
        <v>276</v>
      </c>
      <c r="B310" s="65" t="s">
        <v>277</v>
      </c>
    </row>
    <row r="311" spans="2:9" s="65" customFormat="1" ht="12.75">
      <c r="B311" s="65" t="s">
        <v>278</v>
      </c>
      <c r="I311" s="65">
        <v>2</v>
      </c>
    </row>
  </sheetData>
  <sheetProtection/>
  <mergeCells count="46">
    <mergeCell ref="A108:G108"/>
    <mergeCell ref="A112:E112"/>
    <mergeCell ref="A114:G114"/>
    <mergeCell ref="A118:D118"/>
    <mergeCell ref="C99:I99"/>
    <mergeCell ref="C70:D70"/>
    <mergeCell ref="A73:F73"/>
    <mergeCell ref="A74:G74"/>
    <mergeCell ref="A75:D75"/>
    <mergeCell ref="E75:G75"/>
    <mergeCell ref="A76:E76"/>
    <mergeCell ref="A54:G54"/>
    <mergeCell ref="A55:G55"/>
    <mergeCell ref="A58:F58"/>
    <mergeCell ref="A62:D62"/>
    <mergeCell ref="A63:F63"/>
    <mergeCell ref="A66:E66"/>
    <mergeCell ref="A41:G41"/>
    <mergeCell ref="A42:F42"/>
    <mergeCell ref="A43:F43"/>
    <mergeCell ref="A48:F48"/>
    <mergeCell ref="A52:G52"/>
    <mergeCell ref="A53:E53"/>
    <mergeCell ref="A35:G35"/>
    <mergeCell ref="A36:G36"/>
    <mergeCell ref="A37:G37"/>
    <mergeCell ref="A38:G38"/>
    <mergeCell ref="A39:G39"/>
    <mergeCell ref="A40:G40"/>
    <mergeCell ref="A27:G27"/>
    <mergeCell ref="A28:G28"/>
    <mergeCell ref="A30:E30"/>
    <mergeCell ref="A32:G32"/>
    <mergeCell ref="A33:G33"/>
    <mergeCell ref="A34:G34"/>
    <mergeCell ref="A15:G15"/>
    <mergeCell ref="A19:F19"/>
    <mergeCell ref="A21:F21"/>
    <mergeCell ref="A24:F24"/>
    <mergeCell ref="A25:G25"/>
    <mergeCell ref="A26:G26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5 M55 M62 M69 L79:M79 H102:H104 H106 H116 H118 H120 H122" evalError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P346"/>
  <sheetViews>
    <sheetView zoomScalePageLayoutView="0" workbookViewId="0" topLeftCell="A1">
      <selection activeCell="G103" sqref="G103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57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27" t="s">
        <v>447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 customHeight="1">
      <c r="A5" s="129" t="s">
        <v>699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" customHeight="1">
      <c r="A6" s="14" t="s">
        <v>419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f>34301.21*1.042</f>
        <v>35741.86082</v>
      </c>
      <c r="F12" s="9" t="s">
        <v>70</v>
      </c>
      <c r="H12" s="13"/>
      <c r="I12" s="13"/>
      <c r="K12" s="13"/>
      <c r="L12" s="67">
        <f>E14</f>
        <v>41164.8352</v>
      </c>
      <c r="M12" s="67"/>
      <c r="N12" s="67"/>
      <c r="O12" s="67"/>
      <c r="P12" s="67"/>
    </row>
    <row r="13" spans="1:16" s="9" customFormat="1" ht="15.75">
      <c r="A13" s="11" t="s">
        <v>420</v>
      </c>
      <c r="B13" s="11"/>
      <c r="C13" s="12"/>
      <c r="D13" s="11"/>
      <c r="E13" s="9">
        <f>5204.39*1.042</f>
        <v>5422.974380000001</v>
      </c>
      <c r="F13" s="9" t="s">
        <v>70</v>
      </c>
      <c r="H13" s="13"/>
      <c r="I13" s="13"/>
      <c r="K13" s="13"/>
      <c r="L13" s="92" t="e">
        <f>K20+K36+K64+K91+#REF!+K101</f>
        <v>#REF!</v>
      </c>
      <c r="M13" s="67"/>
      <c r="N13" s="67"/>
      <c r="O13" s="67"/>
      <c r="P13" s="67"/>
    </row>
    <row r="14" spans="1:16" s="9" customFormat="1" ht="15.75">
      <c r="A14" s="11" t="s">
        <v>421</v>
      </c>
      <c r="B14" s="11"/>
      <c r="C14" s="12"/>
      <c r="D14" s="11"/>
      <c r="E14" s="9">
        <f>E12+E13</f>
        <v>41164.8352</v>
      </c>
      <c r="F14" s="9" t="s">
        <v>70</v>
      </c>
      <c r="H14" s="13"/>
      <c r="I14" s="13"/>
      <c r="K14" s="13"/>
      <c r="L14" s="92" t="e">
        <f>L12-L13</f>
        <v>#REF!</v>
      </c>
      <c r="M14" s="67"/>
      <c r="N14" s="67">
        <f>E14*0.97</f>
        <v>39929.890144</v>
      </c>
      <c r="O14" s="67"/>
      <c r="P14" s="67"/>
    </row>
    <row r="15" spans="1:16" s="9" customFormat="1" ht="15.75" customHeight="1">
      <c r="A15" s="118"/>
      <c r="B15" s="118"/>
      <c r="C15" s="118"/>
      <c r="D15" s="118"/>
      <c r="E15" s="118"/>
      <c r="F15" s="118"/>
      <c r="G15" s="118"/>
      <c r="H15" s="118"/>
      <c r="K15" s="14"/>
      <c r="L15" s="67"/>
      <c r="M15" s="67"/>
      <c r="N15" s="67"/>
      <c r="O15" s="67"/>
      <c r="P15" s="67"/>
    </row>
    <row r="16" spans="3:16" s="9" customFormat="1" ht="15.75">
      <c r="C16" s="15" t="s">
        <v>71</v>
      </c>
      <c r="D16" s="15"/>
      <c r="K16" s="5"/>
      <c r="L16" s="67"/>
      <c r="M16" s="67"/>
      <c r="N16" s="67"/>
      <c r="O16" s="67"/>
      <c r="P16" s="67"/>
    </row>
    <row r="17" spans="1:13" ht="15.75">
      <c r="A17" s="114" t="s">
        <v>72</v>
      </c>
      <c r="B17" s="114"/>
      <c r="C17" s="114"/>
      <c r="D17" s="114"/>
      <c r="E17" s="114"/>
      <c r="F17" s="114"/>
      <c r="G17" s="114"/>
      <c r="H17" s="16"/>
      <c r="I17" s="16"/>
      <c r="J17" s="16"/>
      <c r="K17" s="17">
        <f>K20+K36+K64+K91+K101+K117</f>
        <v>38835.707473464136</v>
      </c>
      <c r="L17" s="68"/>
      <c r="M17" s="65" t="s">
        <v>309</v>
      </c>
    </row>
    <row r="18" spans="1:11" ht="15.75">
      <c r="A18" s="15"/>
      <c r="B18" s="15"/>
      <c r="C18" s="19"/>
      <c r="D18" s="15"/>
      <c r="E18" s="15"/>
      <c r="F18" s="15"/>
      <c r="G18" s="15"/>
      <c r="H18" s="15"/>
      <c r="I18" s="15"/>
      <c r="J18" s="15"/>
      <c r="K18" s="18"/>
    </row>
    <row r="19" spans="1:13" ht="15.75">
      <c r="A19" s="15"/>
      <c r="B19" s="15"/>
      <c r="C19" s="19"/>
      <c r="D19" s="15"/>
      <c r="E19" s="15"/>
      <c r="F19" s="15"/>
      <c r="G19" s="15"/>
      <c r="H19" s="15"/>
      <c r="I19" s="15"/>
      <c r="J19" s="15"/>
      <c r="K19" s="18"/>
      <c r="L19" s="69"/>
      <c r="M19" s="65" t="s">
        <v>310</v>
      </c>
    </row>
    <row r="20" spans="1:15" ht="15.75">
      <c r="A20" s="20" t="s">
        <v>147</v>
      </c>
      <c r="B20" s="20"/>
      <c r="C20" s="20"/>
      <c r="D20" s="20"/>
      <c r="E20" s="20"/>
      <c r="F20" s="20"/>
      <c r="G20" s="20"/>
      <c r="H20" s="20"/>
      <c r="I20" s="21"/>
      <c r="J20" s="20"/>
      <c r="K20" s="21">
        <f>H22+H24+H25+H28+H30+H32+H34+H23</f>
        <v>6929.513491493333</v>
      </c>
      <c r="M20" s="65" t="s">
        <v>76</v>
      </c>
      <c r="O20" s="69">
        <f>I334</f>
        <v>0.8191666666666666</v>
      </c>
    </row>
    <row r="21" spans="1:15" ht="12.75">
      <c r="A21" s="22" t="s">
        <v>77</v>
      </c>
      <c r="B21" s="22"/>
      <c r="C21" s="22"/>
      <c r="D21" s="22"/>
      <c r="E21" s="22"/>
      <c r="F21" s="22"/>
      <c r="G21" s="22"/>
      <c r="H21" s="22"/>
      <c r="I21" s="22"/>
      <c r="J21" s="22">
        <v>2972395.8</v>
      </c>
      <c r="K21" s="23"/>
      <c r="M21" s="65" t="s">
        <v>78</v>
      </c>
      <c r="O21" s="69">
        <f>I339</f>
        <v>0.51</v>
      </c>
    </row>
    <row r="22" spans="1:15" ht="12.75">
      <c r="A22" s="113" t="s">
        <v>700</v>
      </c>
      <c r="B22" s="113"/>
      <c r="C22" s="113"/>
      <c r="D22" s="113"/>
      <c r="E22" s="113"/>
      <c r="F22" s="113"/>
      <c r="G22" s="22"/>
      <c r="H22" s="23">
        <f>O20*2600*1.75*1.07</f>
        <v>3988.1129166666665</v>
      </c>
      <c r="I22" s="22"/>
      <c r="J22" s="22"/>
      <c r="K22" s="23"/>
      <c r="M22" s="65" t="s">
        <v>80</v>
      </c>
      <c r="O22" s="69"/>
    </row>
    <row r="23" spans="1:15" ht="12.75">
      <c r="A23" s="24" t="s">
        <v>701</v>
      </c>
      <c r="B23" s="24"/>
      <c r="C23" s="24"/>
      <c r="D23" s="24"/>
      <c r="E23" s="24"/>
      <c r="F23" s="24"/>
      <c r="G23" s="22"/>
      <c r="H23" s="23">
        <f>O21*2203*1.3*1.07</f>
        <v>1562.83023</v>
      </c>
      <c r="I23" s="22"/>
      <c r="J23" s="22"/>
      <c r="K23" s="23"/>
      <c r="M23" s="65" t="s">
        <v>82</v>
      </c>
      <c r="O23" s="69">
        <v>4336.5</v>
      </c>
    </row>
    <row r="24" spans="1:15" ht="12.75">
      <c r="A24" s="113"/>
      <c r="B24" s="113"/>
      <c r="C24" s="113"/>
      <c r="D24" s="113"/>
      <c r="E24" s="113"/>
      <c r="F24" s="113"/>
      <c r="G24" s="22"/>
      <c r="H24" s="23"/>
      <c r="I24" s="22"/>
      <c r="J24" s="22"/>
      <c r="K24" s="23"/>
      <c r="M24" s="65" t="s">
        <v>83</v>
      </c>
      <c r="O24" s="65">
        <v>206</v>
      </c>
    </row>
    <row r="25" spans="1:16" ht="12.75">
      <c r="A25" s="23">
        <f>H22+H23</f>
        <v>5550.9431466666665</v>
      </c>
      <c r="B25" s="22" t="s">
        <v>84</v>
      </c>
      <c r="C25" s="22"/>
      <c r="D25" s="22"/>
      <c r="E25" s="22"/>
      <c r="F25" s="22"/>
      <c r="G25" s="22"/>
      <c r="H25" s="23">
        <f>A25*0.142</f>
        <v>788.2339268266666</v>
      </c>
      <c r="I25" s="22"/>
      <c r="J25" s="22">
        <v>781740.1</v>
      </c>
      <c r="K25" s="25"/>
      <c r="L25" s="70"/>
      <c r="M25" s="65" t="s">
        <v>85</v>
      </c>
      <c r="P25" s="65">
        <f>O25/2</f>
        <v>0</v>
      </c>
    </row>
    <row r="26" spans="1:16" ht="12.75">
      <c r="A26" s="22" t="s">
        <v>86</v>
      </c>
      <c r="B26" s="22"/>
      <c r="C26" s="22"/>
      <c r="D26" s="22"/>
      <c r="E26" s="22"/>
      <c r="F26" s="22"/>
      <c r="G26" s="22"/>
      <c r="H26" s="23"/>
      <c r="I26" s="22"/>
      <c r="J26" s="22">
        <v>113966.82</v>
      </c>
      <c r="K26" s="23"/>
      <c r="N26" s="65">
        <v>9</v>
      </c>
      <c r="P26" s="65">
        <f>O26/2</f>
        <v>0</v>
      </c>
    </row>
    <row r="27" spans="1:11" ht="12.75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3"/>
    </row>
    <row r="28" spans="1:16" ht="12.75">
      <c r="A28" s="113" t="s">
        <v>702</v>
      </c>
      <c r="B28" s="113"/>
      <c r="C28" s="113"/>
      <c r="D28" s="113"/>
      <c r="E28" s="113"/>
      <c r="F28" s="113"/>
      <c r="G28" s="22"/>
      <c r="H28" s="23">
        <f>0.057*O23</f>
        <v>247.1805</v>
      </c>
      <c r="I28" s="23"/>
      <c r="J28" s="22"/>
      <c r="K28" s="23"/>
      <c r="N28" s="65">
        <v>10</v>
      </c>
      <c r="P28" s="65">
        <f>O28/2</f>
        <v>0</v>
      </c>
    </row>
    <row r="29" spans="1:11" ht="12.75">
      <c r="A29" s="24" t="s">
        <v>703</v>
      </c>
      <c r="B29" s="24"/>
      <c r="C29" s="24"/>
      <c r="D29" s="24"/>
      <c r="E29" s="24"/>
      <c r="F29" s="24"/>
      <c r="G29" s="22"/>
      <c r="H29" s="23">
        <f>O23*0.0085</f>
        <v>36.86025</v>
      </c>
      <c r="I29" s="23"/>
      <c r="J29" s="22"/>
      <c r="K29" s="23"/>
    </row>
    <row r="30" spans="1:13" ht="12.75">
      <c r="A30" s="113" t="s">
        <v>704</v>
      </c>
      <c r="B30" s="113"/>
      <c r="C30" s="113"/>
      <c r="D30" s="113"/>
      <c r="E30" s="113"/>
      <c r="F30" s="113"/>
      <c r="G30" s="113"/>
      <c r="H30" s="23">
        <f>0.005*O23</f>
        <v>21.6825</v>
      </c>
      <c r="I30" s="22"/>
      <c r="J30" s="22"/>
      <c r="K30" s="23"/>
      <c r="M30" s="65" t="s">
        <v>90</v>
      </c>
    </row>
    <row r="31" spans="1:11" ht="12.75">
      <c r="A31" s="24"/>
      <c r="B31" s="24"/>
      <c r="C31" s="24"/>
      <c r="D31" s="24"/>
      <c r="E31" s="24"/>
      <c r="F31" s="24"/>
      <c r="G31" s="24"/>
      <c r="H31" s="23"/>
      <c r="I31" s="22"/>
      <c r="J31" s="22"/>
      <c r="K31" s="23"/>
    </row>
    <row r="32" spans="1:15" ht="12.75">
      <c r="A32" s="113" t="s">
        <v>705</v>
      </c>
      <c r="B32" s="113"/>
      <c r="C32" s="113"/>
      <c r="D32" s="113"/>
      <c r="E32" s="113"/>
      <c r="F32" s="113"/>
      <c r="G32" s="113"/>
      <c r="H32" s="23">
        <f>O23*0.017</f>
        <v>73.7205</v>
      </c>
      <c r="I32" s="22"/>
      <c r="J32" s="22">
        <v>13606.82</v>
      </c>
      <c r="K32" s="23"/>
      <c r="M32" s="65" t="s">
        <v>92</v>
      </c>
      <c r="O32" s="65">
        <v>36</v>
      </c>
    </row>
    <row r="33" spans="1:11" ht="12.75">
      <c r="A33" s="24"/>
      <c r="B33" s="24"/>
      <c r="C33" s="24"/>
      <c r="D33" s="24"/>
      <c r="E33" s="24"/>
      <c r="F33" s="24"/>
      <c r="G33" s="24"/>
      <c r="H33" s="23"/>
      <c r="I33" s="22"/>
      <c r="J33" s="22"/>
      <c r="K33" s="23"/>
    </row>
    <row r="34" spans="1:15" ht="12.75">
      <c r="A34" s="113" t="s">
        <v>93</v>
      </c>
      <c r="B34" s="113"/>
      <c r="C34" s="113"/>
      <c r="D34" s="113"/>
      <c r="E34" s="113"/>
      <c r="F34" s="113"/>
      <c r="G34" s="113"/>
      <c r="H34" s="23">
        <f>0.054*O23*1.058</f>
        <v>247.752918</v>
      </c>
      <c r="I34" s="22"/>
      <c r="J34" s="22"/>
      <c r="K34" s="23"/>
      <c r="M34" s="65" t="s">
        <v>94</v>
      </c>
      <c r="O34" s="65">
        <v>650</v>
      </c>
    </row>
    <row r="35" spans="1:11" ht="12.75">
      <c r="A35" s="24"/>
      <c r="B35" s="24"/>
      <c r="C35" s="24"/>
      <c r="D35" s="24"/>
      <c r="E35" s="24"/>
      <c r="F35" s="24"/>
      <c r="G35" s="24"/>
      <c r="H35" s="23"/>
      <c r="I35" s="22"/>
      <c r="J35" s="22"/>
      <c r="K35" s="23"/>
    </row>
    <row r="36" spans="1:15" ht="15.75">
      <c r="A36" s="110" t="s">
        <v>95</v>
      </c>
      <c r="B36" s="110"/>
      <c r="C36" s="110"/>
      <c r="D36" s="110"/>
      <c r="E36" s="110"/>
      <c r="F36" s="20"/>
      <c r="G36" s="20"/>
      <c r="H36" s="27"/>
      <c r="I36" s="20"/>
      <c r="J36" s="20"/>
      <c r="K36" s="21">
        <f>H38+H40+H42+H44+H46+H48+H50+H54+H56+H58+H60+K56+H52+H62</f>
        <v>7418.903935000001</v>
      </c>
      <c r="M36" s="65" t="s">
        <v>96</v>
      </c>
      <c r="O36" s="69">
        <f>K322</f>
        <v>1.218895254126817</v>
      </c>
    </row>
    <row r="37" spans="1:15" ht="12.75">
      <c r="A37" s="22"/>
      <c r="B37" s="22" t="s">
        <v>64</v>
      </c>
      <c r="C37" s="22"/>
      <c r="D37" s="22"/>
      <c r="E37" s="22"/>
      <c r="F37" s="22"/>
      <c r="G37" s="22"/>
      <c r="H37" s="28"/>
      <c r="I37" s="22"/>
      <c r="J37" s="22"/>
      <c r="K37" s="29"/>
      <c r="M37" s="65" t="s">
        <v>97</v>
      </c>
      <c r="O37" s="69">
        <f>O24*1.5/12/11.25</f>
        <v>2.2888888888888888</v>
      </c>
    </row>
    <row r="38" spans="1:11" ht="12.75">
      <c r="A38" s="113" t="s">
        <v>706</v>
      </c>
      <c r="B38" s="113"/>
      <c r="C38" s="113"/>
      <c r="D38" s="113"/>
      <c r="E38" s="113"/>
      <c r="F38" s="113"/>
      <c r="G38" s="113"/>
      <c r="H38" s="28">
        <f>(O24*1.5)/12*90.3*1.058</f>
        <v>2460.08805</v>
      </c>
      <c r="I38" s="22"/>
      <c r="J38" s="22"/>
      <c r="K38" s="29"/>
    </row>
    <row r="39" spans="1:11" ht="12.75">
      <c r="A39" s="24"/>
      <c r="B39" s="24"/>
      <c r="C39" s="24"/>
      <c r="D39" s="24"/>
      <c r="E39" s="24"/>
      <c r="F39" s="24"/>
      <c r="G39" s="24"/>
      <c r="H39" s="28"/>
      <c r="I39" s="22"/>
      <c r="J39" s="22"/>
      <c r="K39" s="29"/>
    </row>
    <row r="40" spans="1:11" ht="12.75">
      <c r="A40" s="113" t="s">
        <v>707</v>
      </c>
      <c r="B40" s="113"/>
      <c r="C40" s="113"/>
      <c r="D40" s="113"/>
      <c r="E40" s="113"/>
      <c r="F40" s="113"/>
      <c r="G40" s="113"/>
      <c r="H40" s="28">
        <f>O24*1.5*33.1/12*1.058</f>
        <v>901.7598499999999</v>
      </c>
      <c r="I40" s="22"/>
      <c r="J40" s="22"/>
      <c r="K40" s="29"/>
    </row>
    <row r="41" spans="1:11" ht="12.75">
      <c r="A41" s="24"/>
      <c r="B41" s="24"/>
      <c r="C41" s="24"/>
      <c r="D41" s="24"/>
      <c r="E41" s="24"/>
      <c r="F41" s="24"/>
      <c r="G41" s="24"/>
      <c r="H41" s="28"/>
      <c r="I41" s="22"/>
      <c r="J41" s="22"/>
      <c r="K41" s="29"/>
    </row>
    <row r="42" spans="1:11" ht="12.75">
      <c r="A42" s="113" t="s">
        <v>708</v>
      </c>
      <c r="B42" s="113"/>
      <c r="C42" s="113"/>
      <c r="D42" s="113"/>
      <c r="E42" s="113"/>
      <c r="F42" s="113"/>
      <c r="G42" s="113"/>
      <c r="H42" s="28">
        <f>O34*2.24*1.229</f>
        <v>1789.4240000000004</v>
      </c>
      <c r="I42" s="22"/>
      <c r="J42" s="22"/>
      <c r="K42" s="29"/>
    </row>
    <row r="43" spans="1:11" ht="12.75">
      <c r="A43" s="24"/>
      <c r="B43" s="24"/>
      <c r="C43" s="24"/>
      <c r="D43" s="24"/>
      <c r="E43" s="24"/>
      <c r="F43" s="24"/>
      <c r="G43" s="24"/>
      <c r="H43" s="28"/>
      <c r="I43" s="22"/>
      <c r="J43" s="22"/>
      <c r="K43" s="29"/>
    </row>
    <row r="44" spans="1:11" ht="12.75">
      <c r="A44" s="113" t="s">
        <v>709</v>
      </c>
      <c r="B44" s="113"/>
      <c r="C44" s="113"/>
      <c r="D44" s="113"/>
      <c r="E44" s="113"/>
      <c r="F44" s="113"/>
      <c r="G44" s="113"/>
      <c r="H44" s="28">
        <f>O23*0.0277</f>
        <v>120.12105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1" ht="12.75">
      <c r="A46" s="113" t="s">
        <v>710</v>
      </c>
      <c r="B46" s="113"/>
      <c r="C46" s="113"/>
      <c r="D46" s="113"/>
      <c r="E46" s="113"/>
      <c r="F46" s="113"/>
      <c r="G46" s="113"/>
      <c r="H46" s="28">
        <f>O23*0.0027</f>
        <v>11.70855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2.75">
      <c r="A48" s="113" t="s">
        <v>460</v>
      </c>
      <c r="B48" s="113"/>
      <c r="C48" s="113"/>
      <c r="D48" s="113"/>
      <c r="E48" s="113"/>
      <c r="F48" s="113"/>
      <c r="G48" s="113"/>
      <c r="H48" s="28">
        <f>O32*4.81/12</f>
        <v>14.43</v>
      </c>
      <c r="I48" s="22"/>
      <c r="J48" s="22"/>
      <c r="K48" s="29"/>
    </row>
    <row r="49" spans="1:11" ht="12.75">
      <c r="A49" s="24"/>
      <c r="B49" s="24"/>
      <c r="C49" s="24"/>
      <c r="D49" s="24"/>
      <c r="E49" s="24"/>
      <c r="F49" s="24"/>
      <c r="G49" s="24"/>
      <c r="H49" s="28"/>
      <c r="I49" s="22"/>
      <c r="J49" s="22"/>
      <c r="K49" s="29"/>
    </row>
    <row r="50" spans="1:11" ht="12.75">
      <c r="A50" s="113" t="s">
        <v>711</v>
      </c>
      <c r="B50" s="113"/>
      <c r="C50" s="113"/>
      <c r="D50" s="113"/>
      <c r="E50" s="113"/>
      <c r="F50" s="113"/>
      <c r="G50" s="113"/>
      <c r="H50" s="28">
        <f>O23*0.11*1.229</f>
        <v>586.251435</v>
      </c>
      <c r="I50" s="22"/>
      <c r="J50" s="22"/>
      <c r="K50" s="29"/>
    </row>
    <row r="51" spans="1:11" ht="12.75">
      <c r="A51" s="24"/>
      <c r="B51" s="24"/>
      <c r="C51" s="24"/>
      <c r="D51" s="24"/>
      <c r="E51" s="24"/>
      <c r="F51" s="24"/>
      <c r="G51" s="24"/>
      <c r="H51" s="28"/>
      <c r="I51" s="22"/>
      <c r="J51" s="22"/>
      <c r="K51" s="29"/>
    </row>
    <row r="52" spans="1:11" ht="12.75">
      <c r="A52" s="30" t="s">
        <v>712</v>
      </c>
      <c r="B52" s="30"/>
      <c r="C52" s="30"/>
      <c r="D52" s="30"/>
      <c r="E52" s="30"/>
      <c r="F52" s="30"/>
      <c r="G52" s="30"/>
      <c r="H52" s="31">
        <f>O23*0.216</f>
        <v>936.684</v>
      </c>
      <c r="I52" s="22"/>
      <c r="J52" s="22"/>
      <c r="K52" s="29"/>
    </row>
    <row r="53" spans="1:11" ht="12.75">
      <c r="A53" s="30"/>
      <c r="B53" s="30"/>
      <c r="C53" s="30"/>
      <c r="D53" s="30"/>
      <c r="E53" s="30"/>
      <c r="F53" s="30"/>
      <c r="G53" s="30"/>
      <c r="H53" s="31"/>
      <c r="I53" s="22"/>
      <c r="J53" s="22"/>
      <c r="K53" s="29"/>
    </row>
    <row r="54" spans="1:11" ht="12.75">
      <c r="A54" s="113" t="s">
        <v>713</v>
      </c>
      <c r="B54" s="113"/>
      <c r="C54" s="113"/>
      <c r="D54" s="113"/>
      <c r="E54" s="113"/>
      <c r="F54" s="113"/>
      <c r="G54" s="113"/>
      <c r="H54" s="28">
        <f>O23*0.027</f>
        <v>117.0855</v>
      </c>
      <c r="I54" s="22"/>
      <c r="J54" s="3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32"/>
      <c r="K55" s="29"/>
    </row>
    <row r="56" spans="1:11" ht="12.75">
      <c r="A56" s="113" t="s">
        <v>714</v>
      </c>
      <c r="B56" s="113"/>
      <c r="C56" s="113"/>
      <c r="D56" s="113"/>
      <c r="E56" s="113"/>
      <c r="F56" s="113"/>
      <c r="G56" s="113"/>
      <c r="H56" s="28">
        <f>O23*0.022</f>
        <v>95.40299999999999</v>
      </c>
      <c r="I56" s="22"/>
      <c r="J56" s="22"/>
      <c r="K56" s="29"/>
    </row>
    <row r="57" spans="1:11" ht="12.75">
      <c r="A57" s="24"/>
      <c r="B57" s="24"/>
      <c r="C57" s="24"/>
      <c r="D57" s="24"/>
      <c r="E57" s="24"/>
      <c r="F57" s="24"/>
      <c r="G57" s="24"/>
      <c r="H57" s="28"/>
      <c r="I57" s="22"/>
      <c r="J57" s="22"/>
      <c r="K57" s="29"/>
    </row>
    <row r="58" spans="1:11" ht="12.75">
      <c r="A58" s="113" t="s">
        <v>715</v>
      </c>
      <c r="B58" s="113"/>
      <c r="C58" s="113"/>
      <c r="D58" s="113"/>
      <c r="E58" s="113"/>
      <c r="F58" s="113"/>
      <c r="G58" s="113"/>
      <c r="H58" s="28">
        <f>O23*0.022</f>
        <v>95.40299999999999</v>
      </c>
      <c r="I58" s="22"/>
      <c r="J58" s="22"/>
      <c r="K58" s="29"/>
    </row>
    <row r="59" spans="1:11" ht="12.75">
      <c r="A59" s="24"/>
      <c r="B59" s="24"/>
      <c r="C59" s="24"/>
      <c r="D59" s="24"/>
      <c r="E59" s="24"/>
      <c r="F59" s="24"/>
      <c r="G59" s="24"/>
      <c r="H59" s="28"/>
      <c r="I59" s="22"/>
      <c r="J59" s="22"/>
      <c r="K59" s="29"/>
    </row>
    <row r="60" spans="1:11" ht="12.75">
      <c r="A60" s="113" t="s">
        <v>716</v>
      </c>
      <c r="B60" s="113"/>
      <c r="C60" s="113"/>
      <c r="D60" s="113"/>
      <c r="E60" s="113"/>
      <c r="F60" s="113"/>
      <c r="G60" s="24"/>
      <c r="H60" s="28">
        <f>O23*0.053</f>
        <v>229.8345</v>
      </c>
      <c r="I60" s="22"/>
      <c r="J60" s="22"/>
      <c r="K60" s="29"/>
    </row>
    <row r="61" spans="1:11" ht="12.75">
      <c r="A61" s="24"/>
      <c r="B61" s="24"/>
      <c r="C61" s="24"/>
      <c r="D61" s="24"/>
      <c r="E61" s="24"/>
      <c r="F61" s="24"/>
      <c r="G61" s="24"/>
      <c r="H61" s="28"/>
      <c r="I61" s="22"/>
      <c r="J61" s="22"/>
      <c r="K61" s="29"/>
    </row>
    <row r="62" spans="1:11" ht="12.75">
      <c r="A62" s="113" t="s">
        <v>717</v>
      </c>
      <c r="B62" s="113"/>
      <c r="C62" s="113"/>
      <c r="D62" s="113"/>
      <c r="E62" s="113"/>
      <c r="F62" s="113"/>
      <c r="G62" s="24"/>
      <c r="H62" s="28">
        <f>O23*0.014</f>
        <v>60.711</v>
      </c>
      <c r="I62" s="22"/>
      <c r="J62" s="22"/>
      <c r="K62" s="29"/>
    </row>
    <row r="63" spans="1:11" ht="12.75">
      <c r="A63" s="24"/>
      <c r="B63" s="24"/>
      <c r="C63" s="24"/>
      <c r="D63" s="24"/>
      <c r="E63" s="24"/>
      <c r="F63" s="24"/>
      <c r="G63" s="24"/>
      <c r="H63" s="28"/>
      <c r="I63" s="22"/>
      <c r="J63" s="22"/>
      <c r="K63" s="29"/>
    </row>
    <row r="64" spans="1:13" ht="15.75">
      <c r="A64" s="20" t="s">
        <v>111</v>
      </c>
      <c r="B64" s="20"/>
      <c r="C64" s="20"/>
      <c r="D64" s="20"/>
      <c r="E64" s="20"/>
      <c r="F64" s="20"/>
      <c r="G64" s="20"/>
      <c r="H64" s="27"/>
      <c r="I64" s="20"/>
      <c r="J64" s="20"/>
      <c r="K64" s="21">
        <f>H68+H70+H72+H74+H76+H78+H80+H82+H84+H86+H89</f>
        <v>17187.2259469708</v>
      </c>
      <c r="M64" s="71" t="e">
        <f>K64/309084*#REF!</f>
        <v>#REF!</v>
      </c>
    </row>
    <row r="65" spans="1:11" ht="12.75">
      <c r="A65" s="22"/>
      <c r="B65" s="22" t="s">
        <v>64</v>
      </c>
      <c r="C65" s="22"/>
      <c r="D65" s="22"/>
      <c r="E65" s="22"/>
      <c r="F65" s="22"/>
      <c r="G65" s="22"/>
      <c r="H65" s="28"/>
      <c r="I65" s="22"/>
      <c r="J65" s="22"/>
      <c r="K65" s="29"/>
    </row>
    <row r="66" spans="1:11" ht="12.75">
      <c r="A66" s="33" t="s">
        <v>112</v>
      </c>
      <c r="B66" s="33"/>
      <c r="C66" s="33"/>
      <c r="D66" s="33"/>
      <c r="E66" s="33"/>
      <c r="F66" s="33"/>
      <c r="G66" s="33"/>
      <c r="H66" s="34"/>
      <c r="I66" s="33"/>
      <c r="J66" s="33"/>
      <c r="K66" s="35"/>
    </row>
    <row r="67" spans="1:11" ht="12.75">
      <c r="A67" s="33"/>
      <c r="B67" s="33"/>
      <c r="C67" s="33"/>
      <c r="D67" s="33"/>
      <c r="E67" s="33"/>
      <c r="F67" s="33"/>
      <c r="G67" s="33"/>
      <c r="H67" s="34"/>
      <c r="I67" s="33"/>
      <c r="J67" s="33"/>
      <c r="K67" s="35"/>
    </row>
    <row r="68" spans="1:11" ht="12.75">
      <c r="A68" s="111" t="s">
        <v>718</v>
      </c>
      <c r="B68" s="111"/>
      <c r="C68" s="111"/>
      <c r="D68" s="111"/>
      <c r="E68" s="111"/>
      <c r="F68" s="111"/>
      <c r="G68" s="36"/>
      <c r="H68" s="37">
        <f>K322*24.48*165.1*1.5*1.07</f>
        <v>7906.784633512082</v>
      </c>
      <c r="I68" s="38"/>
      <c r="J68" s="38"/>
      <c r="K68" s="35"/>
    </row>
    <row r="69" spans="1:11" ht="12.75">
      <c r="A69" s="33" t="s">
        <v>114</v>
      </c>
      <c r="B69" s="33"/>
      <c r="C69" s="33"/>
      <c r="D69" s="33"/>
      <c r="E69" s="33"/>
      <c r="F69" s="33"/>
      <c r="G69" s="33"/>
      <c r="H69" s="34"/>
      <c r="I69" s="33"/>
      <c r="J69" s="33"/>
      <c r="K69" s="35"/>
    </row>
    <row r="70" spans="1:11" ht="12.75">
      <c r="A70" s="39">
        <f>H68</f>
        <v>7906.784633512082</v>
      </c>
      <c r="B70" s="36" t="s">
        <v>115</v>
      </c>
      <c r="C70" s="36"/>
      <c r="D70" s="36"/>
      <c r="E70" s="36"/>
      <c r="F70" s="36"/>
      <c r="G70" s="38"/>
      <c r="H70" s="37">
        <f>H68*14.2%</f>
        <v>1122.7634179587155</v>
      </c>
      <c r="I70" s="38"/>
      <c r="J70" s="38"/>
      <c r="K70" s="35"/>
    </row>
    <row r="71" spans="1:11" ht="12.75">
      <c r="A71" s="119"/>
      <c r="B71" s="119"/>
      <c r="C71" s="119"/>
      <c r="D71" s="119"/>
      <c r="E71" s="119"/>
      <c r="F71" s="40"/>
      <c r="G71" s="40"/>
      <c r="H71" s="37"/>
      <c r="I71" s="38"/>
      <c r="J71" s="38"/>
      <c r="K71" s="35"/>
    </row>
    <row r="72" spans="1:11" ht="12.75">
      <c r="A72" s="30" t="s">
        <v>86</v>
      </c>
      <c r="B72" s="30"/>
      <c r="C72" s="30"/>
      <c r="D72" s="30"/>
      <c r="E72" s="30"/>
      <c r="F72" s="40"/>
      <c r="G72" s="40"/>
      <c r="H72" s="37">
        <f>0.04*O23</f>
        <v>173.46</v>
      </c>
      <c r="I72" s="38"/>
      <c r="J72" s="38"/>
      <c r="K72" s="35"/>
    </row>
    <row r="73" spans="1:11" ht="12.75">
      <c r="A73" s="30"/>
      <c r="B73" s="30"/>
      <c r="C73" s="30"/>
      <c r="D73" s="30"/>
      <c r="E73" s="30"/>
      <c r="F73" s="40"/>
      <c r="G73" s="40"/>
      <c r="H73" s="37"/>
      <c r="I73" s="38"/>
      <c r="J73" s="38"/>
      <c r="K73" s="35"/>
    </row>
    <row r="74" spans="1:11" ht="12.75">
      <c r="A74" s="108" t="s">
        <v>116</v>
      </c>
      <c r="B74" s="108"/>
      <c r="C74" s="108"/>
      <c r="D74" s="108"/>
      <c r="E74" s="108"/>
      <c r="F74" s="108"/>
      <c r="G74" s="108"/>
      <c r="H74" s="37">
        <v>6600</v>
      </c>
      <c r="I74" s="38"/>
      <c r="J74" s="38"/>
      <c r="K74" s="35"/>
    </row>
    <row r="75" spans="1:11" ht="12.75">
      <c r="A75" s="30"/>
      <c r="B75" s="30"/>
      <c r="C75" s="30"/>
      <c r="D75" s="30"/>
      <c r="E75" s="30"/>
      <c r="F75" s="30"/>
      <c r="G75" s="30"/>
      <c r="H75" s="37"/>
      <c r="I75" s="38"/>
      <c r="J75" s="38"/>
      <c r="K75" s="35"/>
    </row>
    <row r="76" spans="1:11" ht="12.75">
      <c r="A76" s="108" t="s">
        <v>719</v>
      </c>
      <c r="B76" s="108"/>
      <c r="C76" s="108"/>
      <c r="D76" s="108"/>
      <c r="E76" s="108"/>
      <c r="F76" s="30"/>
      <c r="G76" s="30"/>
      <c r="H76" s="37">
        <f>0.0037*O23</f>
        <v>16.04505</v>
      </c>
      <c r="I76" s="38"/>
      <c r="J76" s="38"/>
      <c r="K76" s="35"/>
    </row>
    <row r="77" spans="1:11" ht="12.75">
      <c r="A77" s="30"/>
      <c r="B77" s="30"/>
      <c r="C77" s="30"/>
      <c r="D77" s="30"/>
      <c r="E77" s="30"/>
      <c r="F77" s="30"/>
      <c r="G77" s="30"/>
      <c r="H77" s="37"/>
      <c r="I77" s="38"/>
      <c r="J77" s="38"/>
      <c r="K77" s="35"/>
    </row>
    <row r="78" spans="1:12" ht="12.75">
      <c r="A78" s="108" t="s">
        <v>720</v>
      </c>
      <c r="B78" s="108"/>
      <c r="C78" s="108"/>
      <c r="D78" s="108"/>
      <c r="E78" s="108"/>
      <c r="F78" s="108"/>
      <c r="G78" s="108"/>
      <c r="H78" s="37">
        <f>O23*0.082</f>
        <v>355.593</v>
      </c>
      <c r="I78" s="38"/>
      <c r="J78" s="38"/>
      <c r="K78" s="35"/>
      <c r="L78" s="69"/>
    </row>
    <row r="79" spans="1:12" ht="12.75">
      <c r="A79" s="30"/>
      <c r="B79" s="30"/>
      <c r="C79" s="30"/>
      <c r="D79" s="30"/>
      <c r="E79" s="30"/>
      <c r="F79" s="30"/>
      <c r="G79" s="30"/>
      <c r="H79" s="37"/>
      <c r="I79" s="38"/>
      <c r="J79" s="38"/>
      <c r="K79" s="35"/>
      <c r="L79" s="69"/>
    </row>
    <row r="80" spans="1:13" ht="12.75">
      <c r="A80" s="108" t="s">
        <v>721</v>
      </c>
      <c r="B80" s="108"/>
      <c r="C80" s="108"/>
      <c r="D80" s="108"/>
      <c r="E80" s="108"/>
      <c r="F80" s="108"/>
      <c r="G80" s="108"/>
      <c r="H80" s="31">
        <f>O23*0.023*1.229</f>
        <v>122.5798455</v>
      </c>
      <c r="I80" s="33"/>
      <c r="J80" s="33"/>
      <c r="K80" s="35"/>
      <c r="M80" s="65" t="e">
        <f>36646.37/309083*#REF!</f>
        <v>#REF!</v>
      </c>
    </row>
    <row r="81" spans="1:11" ht="12.75">
      <c r="A81" s="30"/>
      <c r="B81" s="30"/>
      <c r="C81" s="30"/>
      <c r="D81" s="30"/>
      <c r="E81" s="30"/>
      <c r="F81" s="30"/>
      <c r="G81" s="30"/>
      <c r="H81" s="31"/>
      <c r="I81" s="33"/>
      <c r="J81" s="33"/>
      <c r="K81" s="35"/>
    </row>
    <row r="82" spans="1:11" ht="12.75">
      <c r="A82" s="111" t="s">
        <v>442</v>
      </c>
      <c r="B82" s="111"/>
      <c r="C82" s="111"/>
      <c r="D82" s="111"/>
      <c r="E82" s="111"/>
      <c r="F82" s="111"/>
      <c r="G82" s="111"/>
      <c r="H82" s="31">
        <v>100</v>
      </c>
      <c r="I82" s="33"/>
      <c r="J82" s="33"/>
      <c r="K82" s="35"/>
    </row>
    <row r="83" spans="1:11" ht="12.75">
      <c r="A83" s="36"/>
      <c r="B83" s="36"/>
      <c r="C83" s="36"/>
      <c r="D83" s="36"/>
      <c r="E83" s="36"/>
      <c r="F83" s="36"/>
      <c r="G83" s="36"/>
      <c r="H83" s="31"/>
      <c r="I83" s="33"/>
      <c r="J83" s="33"/>
      <c r="K83" s="35"/>
    </row>
    <row r="84" spans="1:11" ht="12.75">
      <c r="A84" s="41" t="s">
        <v>120</v>
      </c>
      <c r="B84" s="41"/>
      <c r="C84" s="41"/>
      <c r="D84" s="41"/>
      <c r="E84" s="40"/>
      <c r="F84" s="40"/>
      <c r="G84" s="40"/>
      <c r="H84" s="31">
        <v>300</v>
      </c>
      <c r="I84" s="40"/>
      <c r="J84" s="40"/>
      <c r="K84" s="35"/>
    </row>
    <row r="85" spans="1:11" ht="12.75">
      <c r="A85" s="41"/>
      <c r="B85" s="41"/>
      <c r="C85" s="41"/>
      <c r="D85" s="41"/>
      <c r="E85" s="40"/>
      <c r="F85" s="40"/>
      <c r="G85" s="40"/>
      <c r="H85" s="31"/>
      <c r="I85" s="40"/>
      <c r="J85" s="40"/>
      <c r="K85" s="35"/>
    </row>
    <row r="86" spans="1:11" ht="12.75">
      <c r="A86" s="108" t="s">
        <v>376</v>
      </c>
      <c r="B86" s="108"/>
      <c r="C86" s="108"/>
      <c r="D86" s="108"/>
      <c r="E86" s="108"/>
      <c r="F86" s="108"/>
      <c r="G86" s="120"/>
      <c r="H86" s="37">
        <v>250</v>
      </c>
      <c r="I86" s="38"/>
      <c r="J86" s="38"/>
      <c r="K86" s="35"/>
    </row>
    <row r="87" spans="1:11" ht="12.75" customHeight="1" hidden="1">
      <c r="A87" s="38"/>
      <c r="B87" s="38"/>
      <c r="C87" s="38"/>
      <c r="D87" s="40"/>
      <c r="E87" s="40"/>
      <c r="F87" s="40"/>
      <c r="G87" s="40"/>
      <c r="H87" s="121"/>
      <c r="I87" s="40"/>
      <c r="J87" s="40"/>
      <c r="K87" s="122"/>
    </row>
    <row r="88" spans="1:11" ht="12.75" customHeight="1">
      <c r="A88" s="38"/>
      <c r="B88" s="38"/>
      <c r="C88" s="38"/>
      <c r="D88" s="40"/>
      <c r="E88" s="40"/>
      <c r="F88" s="40"/>
      <c r="G88" s="40"/>
      <c r="H88" s="121"/>
      <c r="I88" s="40"/>
      <c r="J88" s="40"/>
      <c r="K88" s="122"/>
    </row>
    <row r="89" spans="1:11" ht="12.75">
      <c r="A89" s="38" t="s">
        <v>377</v>
      </c>
      <c r="B89" s="38"/>
      <c r="C89" s="38"/>
      <c r="D89" s="40"/>
      <c r="E89" s="40"/>
      <c r="F89" s="40"/>
      <c r="G89" s="44"/>
      <c r="H89" s="31">
        <v>240</v>
      </c>
      <c r="I89" s="40"/>
      <c r="J89" s="40"/>
      <c r="K89" s="122"/>
    </row>
    <row r="90" spans="1:11" ht="12.75">
      <c r="A90" s="38"/>
      <c r="B90" s="38"/>
      <c r="C90" s="38"/>
      <c r="D90" s="40"/>
      <c r="E90" s="40"/>
      <c r="F90" s="40"/>
      <c r="G90" s="44"/>
      <c r="H90" s="31"/>
      <c r="I90" s="40"/>
      <c r="J90" s="40"/>
      <c r="K90" s="122"/>
    </row>
    <row r="91" spans="1:13" ht="15.75">
      <c r="A91" s="110" t="s">
        <v>121</v>
      </c>
      <c r="B91" s="110"/>
      <c r="C91" s="110"/>
      <c r="D91" s="110"/>
      <c r="E91" s="42"/>
      <c r="F91" s="42"/>
      <c r="G91" s="20"/>
      <c r="H91" s="27"/>
      <c r="I91" s="20"/>
      <c r="J91" s="20"/>
      <c r="K91" s="21">
        <f>H94+H95+H97+H99</f>
        <v>3134.85585</v>
      </c>
      <c r="M91" s="72" t="e">
        <f>51932.37/301083*#REF!</f>
        <v>#REF!</v>
      </c>
    </row>
    <row r="92" spans="1:13" ht="15.75">
      <c r="A92" s="125"/>
      <c r="B92" s="125"/>
      <c r="C92" s="125"/>
      <c r="D92" s="125"/>
      <c r="E92" s="130"/>
      <c r="F92" s="130"/>
      <c r="G92" s="54"/>
      <c r="H92" s="131"/>
      <c r="I92" s="54"/>
      <c r="J92" s="54"/>
      <c r="K92" s="56"/>
      <c r="M92" s="72"/>
    </row>
    <row r="93" spans="1:11" ht="12.75">
      <c r="A93" s="111" t="s">
        <v>122</v>
      </c>
      <c r="B93" s="111"/>
      <c r="C93" s="111"/>
      <c r="D93" s="111"/>
      <c r="E93" s="111"/>
      <c r="F93" s="111"/>
      <c r="G93" s="36"/>
      <c r="H93" s="37"/>
      <c r="I93" s="36"/>
      <c r="J93" s="36"/>
      <c r="K93" s="35"/>
    </row>
    <row r="94" spans="1:11" ht="12.75">
      <c r="A94" s="36" t="s">
        <v>722</v>
      </c>
      <c r="B94" s="36"/>
      <c r="C94" s="36"/>
      <c r="D94" s="36"/>
      <c r="E94" s="36"/>
      <c r="F94" s="36"/>
      <c r="G94" s="36"/>
      <c r="H94" s="37">
        <f>0.2227*O23</f>
        <v>965.73855</v>
      </c>
      <c r="I94" s="36"/>
      <c r="J94" s="36"/>
      <c r="K94" s="35"/>
    </row>
    <row r="95" spans="1:11" ht="12.75">
      <c r="A95" s="30" t="s">
        <v>723</v>
      </c>
      <c r="B95" s="43"/>
      <c r="C95" s="30"/>
      <c r="D95" s="30"/>
      <c r="E95" s="44"/>
      <c r="F95" s="38"/>
      <c r="G95" s="38"/>
      <c r="H95" s="37">
        <f>0.0257*O23</f>
        <v>111.44805000000001</v>
      </c>
      <c r="I95" s="38"/>
      <c r="J95" s="38"/>
      <c r="K95" s="35"/>
    </row>
    <row r="96" spans="1:11" ht="12.75">
      <c r="A96" s="30"/>
      <c r="B96" s="43"/>
      <c r="C96" s="30"/>
      <c r="D96" s="30"/>
      <c r="E96" s="44"/>
      <c r="F96" s="38"/>
      <c r="G96" s="38"/>
      <c r="H96" s="37"/>
      <c r="I96" s="38"/>
      <c r="J96" s="38"/>
      <c r="K96" s="35"/>
    </row>
    <row r="97" spans="1:11" ht="12.75">
      <c r="A97" s="111" t="s">
        <v>724</v>
      </c>
      <c r="B97" s="111"/>
      <c r="C97" s="111"/>
      <c r="D97" s="111"/>
      <c r="E97" s="111"/>
      <c r="F97" s="38"/>
      <c r="G97" s="38"/>
      <c r="H97" s="37">
        <f>0.0945*O23</f>
        <v>409.79925000000003</v>
      </c>
      <c r="I97" s="38"/>
      <c r="J97" s="38"/>
      <c r="K97" s="35"/>
    </row>
    <row r="98" spans="1:11" ht="12.75">
      <c r="A98" s="36"/>
      <c r="B98" s="36"/>
      <c r="C98" s="36"/>
      <c r="D98" s="36"/>
      <c r="E98" s="36"/>
      <c r="F98" s="38"/>
      <c r="G98" s="38"/>
      <c r="H98" s="37"/>
      <c r="I98" s="38"/>
      <c r="J98" s="38"/>
      <c r="K98" s="35"/>
    </row>
    <row r="99" spans="1:11" ht="12.75">
      <c r="A99" s="36" t="s">
        <v>725</v>
      </c>
      <c r="B99" s="36"/>
      <c r="C99" s="36"/>
      <c r="D99" s="36"/>
      <c r="E99" s="36"/>
      <c r="F99" s="38"/>
      <c r="G99" s="38"/>
      <c r="H99" s="37">
        <f>0.38*O23</f>
        <v>1647.8700000000001</v>
      </c>
      <c r="I99" s="38"/>
      <c r="J99" s="38"/>
      <c r="K99" s="45"/>
    </row>
    <row r="100" spans="1:11" ht="12.75">
      <c r="A100" s="30"/>
      <c r="B100" s="30"/>
      <c r="C100" s="30"/>
      <c r="D100" s="30"/>
      <c r="E100" s="38"/>
      <c r="F100" s="38"/>
      <c r="G100" s="38"/>
      <c r="H100" s="37"/>
      <c r="I100" s="38"/>
      <c r="J100" s="38"/>
      <c r="K100" s="35"/>
    </row>
    <row r="101" spans="1:13" ht="15.75">
      <c r="A101" s="26" t="s">
        <v>127</v>
      </c>
      <c r="B101" s="26"/>
      <c r="C101" s="26"/>
      <c r="D101" s="26"/>
      <c r="E101" s="26"/>
      <c r="F101" s="26"/>
      <c r="G101" s="26"/>
      <c r="H101" s="46"/>
      <c r="I101" s="20"/>
      <c r="J101" s="20"/>
      <c r="K101" s="21">
        <f>O23*0.94</f>
        <v>4076.31</v>
      </c>
      <c r="M101" s="71" t="e">
        <f>231179.9/309083*#REF!</f>
        <v>#REF!</v>
      </c>
    </row>
    <row r="102" spans="1:11" ht="15.75">
      <c r="A102" s="47"/>
      <c r="B102" s="47"/>
      <c r="C102" s="112" t="s">
        <v>64</v>
      </c>
      <c r="D102" s="112"/>
      <c r="E102" s="47"/>
      <c r="F102" s="47"/>
      <c r="G102" s="47"/>
      <c r="H102" s="48"/>
      <c r="I102" s="47"/>
      <c r="J102" s="47"/>
      <c r="K102" s="49"/>
    </row>
    <row r="103" spans="1:11" ht="12.75">
      <c r="A103" s="30" t="s">
        <v>128</v>
      </c>
      <c r="B103" s="30"/>
      <c r="C103" s="30"/>
      <c r="D103" s="30"/>
      <c r="E103" s="30"/>
      <c r="F103" s="30"/>
      <c r="G103" s="30"/>
      <c r="H103" s="37"/>
      <c r="I103" s="38"/>
      <c r="J103" s="38"/>
      <c r="K103" s="35"/>
    </row>
    <row r="104" spans="1:11" ht="12.75">
      <c r="A104" s="30"/>
      <c r="B104" s="30"/>
      <c r="C104" s="30"/>
      <c r="D104" s="30"/>
      <c r="E104" s="30"/>
      <c r="F104" s="30"/>
      <c r="G104" s="30"/>
      <c r="H104" s="37"/>
      <c r="I104" s="38"/>
      <c r="J104" s="38"/>
      <c r="K104" s="35"/>
    </row>
    <row r="105" spans="1:11" ht="12.75">
      <c r="A105" s="30" t="s">
        <v>129</v>
      </c>
      <c r="B105" s="43"/>
      <c r="C105" s="30"/>
      <c r="D105" s="30"/>
      <c r="E105" s="30"/>
      <c r="F105" s="44"/>
      <c r="G105" s="44"/>
      <c r="H105" s="37"/>
      <c r="I105" s="38"/>
      <c r="J105" s="38"/>
      <c r="K105" s="35"/>
    </row>
    <row r="106" spans="1:11" ht="12.75">
      <c r="A106" s="30"/>
      <c r="B106" s="43"/>
      <c r="C106" s="30"/>
      <c r="D106" s="30"/>
      <c r="E106" s="30"/>
      <c r="F106" s="44"/>
      <c r="G106" s="44"/>
      <c r="H106" s="37"/>
      <c r="I106" s="38"/>
      <c r="J106" s="38"/>
      <c r="K106" s="35"/>
    </row>
    <row r="107" spans="1:11" ht="12.75">
      <c r="A107" s="108" t="s">
        <v>130</v>
      </c>
      <c r="B107" s="108"/>
      <c r="C107" s="108"/>
      <c r="D107" s="108"/>
      <c r="E107" s="108"/>
      <c r="F107" s="108"/>
      <c r="G107" s="44"/>
      <c r="H107" s="37"/>
      <c r="I107" s="38"/>
      <c r="J107" s="38"/>
      <c r="K107" s="35"/>
    </row>
    <row r="108" spans="1:11" ht="12.75">
      <c r="A108" s="30"/>
      <c r="B108" s="30"/>
      <c r="C108" s="30"/>
      <c r="D108" s="30"/>
      <c r="E108" s="30"/>
      <c r="F108" s="30"/>
      <c r="G108" s="44"/>
      <c r="H108" s="37"/>
      <c r="I108" s="38"/>
      <c r="J108" s="38"/>
      <c r="K108" s="35"/>
    </row>
    <row r="109" spans="1:11" ht="12.75">
      <c r="A109" s="108" t="s">
        <v>131</v>
      </c>
      <c r="B109" s="108"/>
      <c r="C109" s="108"/>
      <c r="D109" s="108"/>
      <c r="E109" s="108"/>
      <c r="F109" s="108"/>
      <c r="G109" s="108"/>
      <c r="H109" s="37"/>
      <c r="I109" s="38"/>
      <c r="J109" s="38"/>
      <c r="K109" s="35"/>
    </row>
    <row r="110" spans="1:11" ht="12.75">
      <c r="A110" s="30"/>
      <c r="B110" s="30"/>
      <c r="C110" s="30"/>
      <c r="D110" s="30"/>
      <c r="E110" s="30"/>
      <c r="F110" s="30"/>
      <c r="G110" s="30"/>
      <c r="H110" s="37"/>
      <c r="I110" s="38"/>
      <c r="J110" s="38"/>
      <c r="K110" s="35"/>
    </row>
    <row r="111" spans="1:11" ht="12.75">
      <c r="A111" s="108" t="s">
        <v>132</v>
      </c>
      <c r="B111" s="108"/>
      <c r="C111" s="108"/>
      <c r="D111" s="108"/>
      <c r="E111" s="109"/>
      <c r="F111" s="109"/>
      <c r="G111" s="109"/>
      <c r="H111" s="37"/>
      <c r="I111" s="38"/>
      <c r="J111" s="38"/>
      <c r="K111" s="35"/>
    </row>
    <row r="112" spans="1:11" ht="12.75">
      <c r="A112" s="30"/>
      <c r="B112" s="30"/>
      <c r="C112" s="30"/>
      <c r="D112" s="30"/>
      <c r="E112" s="50"/>
      <c r="F112" s="50"/>
      <c r="G112" s="50"/>
      <c r="H112" s="37"/>
      <c r="I112" s="38"/>
      <c r="J112" s="38"/>
      <c r="K112" s="35"/>
    </row>
    <row r="113" spans="1:11" ht="12.75">
      <c r="A113" s="108" t="s">
        <v>133</v>
      </c>
      <c r="B113" s="108"/>
      <c r="C113" s="108"/>
      <c r="D113" s="108"/>
      <c r="E113" s="108"/>
      <c r="F113" s="44"/>
      <c r="G113" s="44"/>
      <c r="H113" s="37"/>
      <c r="I113" s="38"/>
      <c r="J113" s="38"/>
      <c r="K113" s="35"/>
    </row>
    <row r="114" spans="1:11" ht="12.75">
      <c r="A114" s="30"/>
      <c r="B114" s="30"/>
      <c r="C114" s="30"/>
      <c r="D114" s="30"/>
      <c r="E114" s="30"/>
      <c r="F114" s="44"/>
      <c r="G114" s="44"/>
      <c r="H114" s="37"/>
      <c r="I114" s="38"/>
      <c r="J114" s="38"/>
      <c r="K114" s="35"/>
    </row>
    <row r="115" spans="1:11" ht="12.75">
      <c r="A115" s="44" t="s">
        <v>134</v>
      </c>
      <c r="B115" s="44"/>
      <c r="C115" s="44"/>
      <c r="D115" s="44"/>
      <c r="E115" s="44"/>
      <c r="F115" s="44"/>
      <c r="G115" s="44"/>
      <c r="H115" s="37"/>
      <c r="I115" s="38"/>
      <c r="J115" s="38"/>
      <c r="K115" s="35"/>
    </row>
    <row r="116" spans="1:11" ht="12.75">
      <c r="A116" s="22"/>
      <c r="B116" s="22"/>
      <c r="C116" s="22"/>
      <c r="D116" s="22"/>
      <c r="E116" s="22"/>
      <c r="F116" s="22"/>
      <c r="G116" s="22"/>
      <c r="H116" s="28"/>
      <c r="I116" s="22"/>
      <c r="J116" s="22"/>
      <c r="K116" s="29"/>
    </row>
    <row r="117" spans="1:13" ht="15.75">
      <c r="A117" s="20" t="s">
        <v>135</v>
      </c>
      <c r="B117" s="20"/>
      <c r="C117" s="20"/>
      <c r="D117" s="20"/>
      <c r="E117" s="20"/>
      <c r="F117" s="51"/>
      <c r="G117" s="51"/>
      <c r="H117" s="52"/>
      <c r="I117" s="51"/>
      <c r="J117" s="51"/>
      <c r="K117" s="21">
        <f>0.0205*O23</f>
        <v>88.89825</v>
      </c>
      <c r="L117" s="72" t="e">
        <f>K117/309084*#REF!</f>
        <v>#REF!</v>
      </c>
      <c r="M117" s="72" t="e">
        <f>L117/309084*#REF!</f>
        <v>#REF!</v>
      </c>
    </row>
    <row r="118" spans="1:13" ht="15.75">
      <c r="A118" s="53"/>
      <c r="B118" s="54"/>
      <c r="C118" s="54"/>
      <c r="D118" s="54"/>
      <c r="E118" s="54"/>
      <c r="F118" s="53"/>
      <c r="G118" s="53"/>
      <c r="H118" s="55"/>
      <c r="I118" s="53"/>
      <c r="J118" s="53"/>
      <c r="K118" s="56"/>
      <c r="L118" s="72"/>
      <c r="M118" s="72"/>
    </row>
    <row r="119" spans="1:11" ht="15.75">
      <c r="A119" s="57" t="s">
        <v>136</v>
      </c>
      <c r="B119" s="57"/>
      <c r="C119" s="57"/>
      <c r="D119" s="58"/>
      <c r="E119" s="58"/>
      <c r="F119" s="58"/>
      <c r="G119" s="58"/>
      <c r="H119" s="59"/>
      <c r="I119" s="58"/>
      <c r="J119" s="58"/>
      <c r="K119" s="60">
        <f>K17*6%</f>
        <v>2330.142448407848</v>
      </c>
    </row>
    <row r="120" spans="1:11" ht="15">
      <c r="A120" s="58"/>
      <c r="B120" s="61"/>
      <c r="C120" s="61"/>
      <c r="D120" s="61"/>
      <c r="E120" s="61"/>
      <c r="F120" s="61"/>
      <c r="G120" s="61"/>
      <c r="H120" s="62"/>
      <c r="I120" s="58"/>
      <c r="J120" s="58"/>
      <c r="K120" s="58"/>
    </row>
    <row r="121" spans="1:11" ht="15.75">
      <c r="A121" s="63" t="s">
        <v>137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4">
        <f>K119+K17</f>
        <v>41165.84992187198</v>
      </c>
    </row>
    <row r="122" spans="1:1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4"/>
    </row>
    <row r="123" spans="1:11" ht="15.75">
      <c r="A123" s="63" t="s">
        <v>138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4">
        <f>K121/O23</f>
        <v>9.492874419894381</v>
      </c>
    </row>
    <row r="124" spans="1:1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4"/>
    </row>
    <row r="125" spans="1:11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4"/>
    </row>
    <row r="126" spans="7:11" ht="12.75">
      <c r="G126" s="123"/>
      <c r="H126" s="123"/>
      <c r="I126" s="123"/>
      <c r="J126" s="123"/>
      <c r="K126" s="123"/>
    </row>
    <row r="134" spans="3:9" s="65" customFormat="1" ht="15.75">
      <c r="C134" s="106" t="s">
        <v>139</v>
      </c>
      <c r="D134" s="107"/>
      <c r="E134" s="107"/>
      <c r="F134" s="107"/>
      <c r="G134" s="107"/>
      <c r="H134" s="107"/>
      <c r="I134" s="107"/>
    </row>
    <row r="135" spans="3:9" s="65" customFormat="1" ht="15.75">
      <c r="C135" s="74" t="s">
        <v>140</v>
      </c>
      <c r="D135" s="74" t="s">
        <v>141</v>
      </c>
      <c r="E135" s="74"/>
      <c r="F135" s="74"/>
      <c r="G135" s="75"/>
      <c r="H135" s="75"/>
      <c r="I135" s="75"/>
    </row>
    <row r="136" s="65" customFormat="1" ht="12.75"/>
    <row r="137" spans="5:8" s="65" customFormat="1" ht="12.75">
      <c r="E137" s="65" t="s">
        <v>142</v>
      </c>
      <c r="H137" s="65" t="e">
        <f>#REF!</f>
        <v>#REF!</v>
      </c>
    </row>
    <row r="138" spans="5:8" s="65" customFormat="1" ht="12.75">
      <c r="E138" s="65" t="s">
        <v>143</v>
      </c>
      <c r="H138" s="65" t="e">
        <f>#REF!</f>
        <v>#REF!</v>
      </c>
    </row>
    <row r="139" spans="5:8" s="65" customFormat="1" ht="12.75">
      <c r="E139" s="65" t="s">
        <v>144</v>
      </c>
      <c r="H139" s="65" t="e">
        <f>#REF!</f>
        <v>#REF!</v>
      </c>
    </row>
    <row r="140" spans="5:8" s="65" customFormat="1" ht="12.75">
      <c r="E140" s="65" t="s">
        <v>145</v>
      </c>
      <c r="H140" s="65">
        <f>O24</f>
        <v>206</v>
      </c>
    </row>
    <row r="141" spans="5:8" s="65" customFormat="1" ht="12.75">
      <c r="E141" s="65" t="s">
        <v>146</v>
      </c>
      <c r="H141" s="65" t="e">
        <f>#REF!</f>
        <v>#REF!</v>
      </c>
    </row>
    <row r="142" s="65" customFormat="1" ht="12.75"/>
    <row r="143" spans="1:11" s="65" customFormat="1" ht="15.75">
      <c r="A143" s="105" t="s">
        <v>72</v>
      </c>
      <c r="B143" s="105"/>
      <c r="C143" s="105"/>
      <c r="D143" s="105"/>
      <c r="E143" s="105"/>
      <c r="F143" s="105"/>
      <c r="G143" s="105"/>
      <c r="H143" s="76" t="e">
        <f>H145+H147+H149+H151+H153+H155+H157</f>
        <v>#REF!</v>
      </c>
      <c r="I143" s="77" t="s">
        <v>70</v>
      </c>
      <c r="K143" s="78" t="e">
        <f>H143-20000</f>
        <v>#REF!</v>
      </c>
    </row>
    <row r="144" spans="1:7" s="65" customFormat="1" ht="12.75">
      <c r="A144" s="79"/>
      <c r="B144" s="79"/>
      <c r="C144" s="79"/>
      <c r="D144" s="79"/>
      <c r="E144" s="79"/>
      <c r="F144" s="79"/>
      <c r="G144" s="79"/>
    </row>
    <row r="145" spans="1:8" s="65" customFormat="1" ht="15.75">
      <c r="A145" s="80" t="s">
        <v>147</v>
      </c>
      <c r="B145" s="80"/>
      <c r="C145" s="80"/>
      <c r="D145" s="80"/>
      <c r="E145" s="80"/>
      <c r="F145" s="80"/>
      <c r="G145" s="80"/>
      <c r="H145" s="78">
        <f>K20</f>
        <v>6929.513491493333</v>
      </c>
    </row>
    <row r="146" spans="1:8" s="65" customFormat="1" ht="12.75">
      <c r="A146" s="79"/>
      <c r="B146" s="79"/>
      <c r="C146" s="79"/>
      <c r="D146" s="79"/>
      <c r="E146" s="79"/>
      <c r="F146" s="79"/>
      <c r="G146" s="79"/>
      <c r="H146" s="78"/>
    </row>
    <row r="147" spans="1:8" s="65" customFormat="1" ht="15.75">
      <c r="A147" s="105" t="s">
        <v>95</v>
      </c>
      <c r="B147" s="105"/>
      <c r="C147" s="105"/>
      <c r="D147" s="105"/>
      <c r="E147" s="105"/>
      <c r="F147" s="80"/>
      <c r="G147" s="80"/>
      <c r="H147" s="78">
        <f>K36</f>
        <v>7418.903935000001</v>
      </c>
    </row>
    <row r="148" spans="1:8" s="65" customFormat="1" ht="12.75">
      <c r="A148" s="79"/>
      <c r="B148" s="79"/>
      <c r="C148" s="79"/>
      <c r="D148" s="79"/>
      <c r="E148" s="79"/>
      <c r="F148" s="79"/>
      <c r="G148" s="79"/>
      <c r="H148" s="78"/>
    </row>
    <row r="149" spans="1:8" s="65" customFormat="1" ht="15.75">
      <c r="A149" s="105" t="s">
        <v>148</v>
      </c>
      <c r="B149" s="105"/>
      <c r="C149" s="105"/>
      <c r="D149" s="105"/>
      <c r="E149" s="105"/>
      <c r="F149" s="105"/>
      <c r="G149" s="105"/>
      <c r="H149" s="81" t="e">
        <f>#REF!</f>
        <v>#REF!</v>
      </c>
    </row>
    <row r="150" spans="1:8" s="65" customFormat="1" ht="12.75">
      <c r="A150" s="79"/>
      <c r="B150" s="79"/>
      <c r="C150" s="79"/>
      <c r="D150" s="79"/>
      <c r="E150" s="79"/>
      <c r="F150" s="79"/>
      <c r="G150" s="79"/>
      <c r="H150" s="82"/>
    </row>
    <row r="151" spans="1:8" s="65" customFormat="1" ht="15.75">
      <c r="A151" s="80" t="s">
        <v>111</v>
      </c>
      <c r="B151" s="80"/>
      <c r="C151" s="80"/>
      <c r="D151" s="80"/>
      <c r="E151" s="80"/>
      <c r="F151" s="80"/>
      <c r="G151" s="80"/>
      <c r="H151" s="82" t="e">
        <f>M64</f>
        <v>#REF!</v>
      </c>
    </row>
    <row r="152" spans="1:8" s="65" customFormat="1" ht="12.75">
      <c r="A152" s="79"/>
      <c r="B152" s="79"/>
      <c r="C152" s="79"/>
      <c r="D152" s="79"/>
      <c r="E152" s="79"/>
      <c r="F152" s="79"/>
      <c r="G152" s="79"/>
      <c r="H152" s="82"/>
    </row>
    <row r="153" spans="1:8" s="65" customFormat="1" ht="15.75">
      <c r="A153" s="105" t="s">
        <v>149</v>
      </c>
      <c r="B153" s="105"/>
      <c r="C153" s="105"/>
      <c r="D153" s="105"/>
      <c r="E153" s="80"/>
      <c r="F153" s="80"/>
      <c r="G153" s="80"/>
      <c r="H153" s="81" t="e">
        <f>M91</f>
        <v>#REF!</v>
      </c>
    </row>
    <row r="154" spans="1:8" s="65" customFormat="1" ht="12.75">
      <c r="A154" s="79"/>
      <c r="B154" s="79"/>
      <c r="C154" s="79"/>
      <c r="D154" s="79"/>
      <c r="E154" s="79"/>
      <c r="F154" s="79"/>
      <c r="G154" s="79"/>
      <c r="H154" s="82"/>
    </row>
    <row r="155" spans="1:8" s="65" customFormat="1" ht="15.75">
      <c r="A155" s="83" t="s">
        <v>127</v>
      </c>
      <c r="B155" s="83"/>
      <c r="C155" s="83"/>
      <c r="D155" s="83"/>
      <c r="E155" s="83"/>
      <c r="F155" s="83"/>
      <c r="G155" s="83"/>
      <c r="H155" s="81" t="e">
        <f>M101</f>
        <v>#REF!</v>
      </c>
    </row>
    <row r="156" spans="1:8" s="65" customFormat="1" ht="12.75">
      <c r="A156" s="79"/>
      <c r="B156" s="79"/>
      <c r="C156" s="79"/>
      <c r="D156" s="79"/>
      <c r="E156" s="79"/>
      <c r="F156" s="79"/>
      <c r="G156" s="79"/>
      <c r="H156" s="82"/>
    </row>
    <row r="157" spans="1:8" s="65" customFormat="1" ht="15.75">
      <c r="A157" s="80" t="s">
        <v>150</v>
      </c>
      <c r="B157" s="80"/>
      <c r="C157" s="80"/>
      <c r="D157" s="80"/>
      <c r="E157" s="80"/>
      <c r="F157" s="84"/>
      <c r="G157" s="84"/>
      <c r="H157" s="81" t="e">
        <f>L117</f>
        <v>#REF!</v>
      </c>
    </row>
    <row r="158" s="65" customFormat="1" ht="12.75"/>
    <row r="159" s="65" customFormat="1" ht="12.75"/>
    <row r="160" s="65" customFormat="1" ht="12.75">
      <c r="H160" s="65" t="s">
        <v>151</v>
      </c>
    </row>
    <row r="161" s="65" customFormat="1" ht="12.75">
      <c r="H161" s="65" t="s">
        <v>146</v>
      </c>
    </row>
    <row r="162" s="65" customFormat="1" ht="12.75">
      <c r="H162" s="65" t="s">
        <v>152</v>
      </c>
    </row>
    <row r="163" s="65" customFormat="1" ht="12.75"/>
    <row r="164" s="65" customFormat="1" ht="12.75"/>
    <row r="165" s="65" customFormat="1" ht="12.75">
      <c r="F165" s="65" t="s">
        <v>153</v>
      </c>
    </row>
    <row r="166" s="65" customFormat="1" ht="12.75">
      <c r="D166" s="65" t="s">
        <v>154</v>
      </c>
    </row>
    <row r="167" s="65" customFormat="1" ht="12.75">
      <c r="D167" s="65" t="s">
        <v>155</v>
      </c>
    </row>
    <row r="168" spans="6:13" s="65" customFormat="1" ht="12.75">
      <c r="F168" s="65" t="s">
        <v>156</v>
      </c>
      <c r="M168" s="65" t="s">
        <v>157</v>
      </c>
    </row>
    <row r="169" s="65" customFormat="1" ht="12.75">
      <c r="M169" s="65" t="s">
        <v>158</v>
      </c>
    </row>
    <row r="170" spans="1:13" s="65" customFormat="1" ht="12.75">
      <c r="A170" s="65" t="s">
        <v>159</v>
      </c>
      <c r="B170" s="65" t="s">
        <v>160</v>
      </c>
      <c r="D170" s="65" t="s">
        <v>161</v>
      </c>
      <c r="F170" s="65" t="s">
        <v>162</v>
      </c>
      <c r="G170" s="65" t="s">
        <v>163</v>
      </c>
      <c r="H170" s="65" t="s">
        <v>164</v>
      </c>
      <c r="J170" s="65" t="s">
        <v>165</v>
      </c>
      <c r="M170" s="73" t="s">
        <v>166</v>
      </c>
    </row>
    <row r="171" spans="1:14" s="65" customFormat="1" ht="12.75">
      <c r="A171" s="65" t="s">
        <v>167</v>
      </c>
      <c r="B171" s="65" t="s">
        <v>168</v>
      </c>
      <c r="D171" s="65" t="s">
        <v>169</v>
      </c>
      <c r="F171" s="65" t="s">
        <v>170</v>
      </c>
      <c r="G171" s="65" t="s">
        <v>171</v>
      </c>
      <c r="H171" s="65" t="s">
        <v>172</v>
      </c>
      <c r="J171" s="65" t="s">
        <v>173</v>
      </c>
      <c r="M171" s="65" t="s">
        <v>174</v>
      </c>
      <c r="N171" s="65">
        <v>4623.4</v>
      </c>
    </row>
    <row r="172" spans="8:9" s="65" customFormat="1" ht="12.75">
      <c r="H172" s="65" t="s">
        <v>175</v>
      </c>
      <c r="I172" s="65" t="s">
        <v>176</v>
      </c>
    </row>
    <row r="173" spans="8:13" s="65" customFormat="1" ht="12.75">
      <c r="H173" s="65" t="s">
        <v>170</v>
      </c>
      <c r="I173" s="65" t="s">
        <v>177</v>
      </c>
      <c r="M173" s="65" t="s">
        <v>178</v>
      </c>
    </row>
    <row r="174" spans="9:13" s="65" customFormat="1" ht="12.75">
      <c r="I174" s="65" t="s">
        <v>179</v>
      </c>
      <c r="M174" s="65" t="s">
        <v>158</v>
      </c>
    </row>
    <row r="175" s="65" customFormat="1" ht="12.75">
      <c r="M175" s="73" t="s">
        <v>166</v>
      </c>
    </row>
    <row r="176" spans="1:14" s="65" customFormat="1" ht="12.75">
      <c r="A176" s="65" t="s">
        <v>180</v>
      </c>
      <c r="B176" s="65" t="s">
        <v>181</v>
      </c>
      <c r="D176" s="65" t="s">
        <v>182</v>
      </c>
      <c r="M176" s="65" t="s">
        <v>174</v>
      </c>
      <c r="N176" s="65">
        <v>1115.5</v>
      </c>
    </row>
    <row r="177" spans="2:4" s="65" customFormat="1" ht="12.75">
      <c r="B177" s="65" t="s">
        <v>183</v>
      </c>
      <c r="D177" s="65" t="s">
        <v>184</v>
      </c>
    </row>
    <row r="178" spans="2:13" s="65" customFormat="1" ht="12.75">
      <c r="B178" s="65" t="s">
        <v>185</v>
      </c>
      <c r="D178" s="65" t="s">
        <v>186</v>
      </c>
      <c r="M178" s="65" t="s">
        <v>187</v>
      </c>
    </row>
    <row r="179" spans="2:13" s="65" customFormat="1" ht="12.75">
      <c r="B179" s="65" t="s">
        <v>188</v>
      </c>
      <c r="D179" s="65" t="s">
        <v>189</v>
      </c>
      <c r="M179" s="65" t="s">
        <v>158</v>
      </c>
    </row>
    <row r="180" spans="2:13" s="65" customFormat="1" ht="12.75">
      <c r="B180" s="65" t="s">
        <v>190</v>
      </c>
      <c r="M180" s="73" t="s">
        <v>166</v>
      </c>
    </row>
    <row r="181" spans="4:14" s="65" customFormat="1" ht="12.75">
      <c r="D181" s="65" t="s">
        <v>191</v>
      </c>
      <c r="M181" s="65" t="s">
        <v>174</v>
      </c>
      <c r="N181" s="65">
        <v>892.4</v>
      </c>
    </row>
    <row r="182" spans="4:6" s="65" customFormat="1" ht="12.75">
      <c r="D182" s="65" t="s">
        <v>192</v>
      </c>
      <c r="F182" s="65" t="s">
        <v>193</v>
      </c>
    </row>
    <row r="183" spans="4:13" s="65" customFormat="1" ht="12.75">
      <c r="D183" s="65" t="s">
        <v>158</v>
      </c>
      <c r="F183" s="65" t="s">
        <v>194</v>
      </c>
      <c r="H183" s="65">
        <v>0.0687</v>
      </c>
      <c r="I183" s="65">
        <v>0</v>
      </c>
      <c r="K183" s="65">
        <f>N174/1000*H183</f>
        <v>0</v>
      </c>
      <c r="M183" s="65" t="s">
        <v>195</v>
      </c>
    </row>
    <row r="184" spans="4:13" s="65" customFormat="1" ht="12.75">
      <c r="D184" s="65" t="s">
        <v>196</v>
      </c>
      <c r="F184" s="65" t="s">
        <v>197</v>
      </c>
      <c r="H184" s="65">
        <v>0.0763</v>
      </c>
      <c r="I184" s="65">
        <v>0</v>
      </c>
      <c r="K184" s="65">
        <f>N175/1000*H184</f>
        <v>0</v>
      </c>
      <c r="M184" s="65" t="s">
        <v>158</v>
      </c>
    </row>
    <row r="185" spans="4:13" s="65" customFormat="1" ht="12.75">
      <c r="D185" s="65" t="s">
        <v>198</v>
      </c>
      <c r="F185" s="65" t="s">
        <v>199</v>
      </c>
      <c r="H185" s="65">
        <v>0.0839</v>
      </c>
      <c r="I185" s="65">
        <v>0</v>
      </c>
      <c r="K185" s="69">
        <f>N176/1000*H185</f>
        <v>0.09359044999999999</v>
      </c>
      <c r="M185" s="73" t="s">
        <v>166</v>
      </c>
    </row>
    <row r="186" spans="6:13" s="65" customFormat="1" ht="12.75">
      <c r="F186" s="65" t="s">
        <v>200</v>
      </c>
      <c r="M186" s="65" t="s">
        <v>174</v>
      </c>
    </row>
    <row r="187" s="65" customFormat="1" ht="12.75">
      <c r="F187" s="65" t="s">
        <v>190</v>
      </c>
    </row>
    <row r="188" spans="5:9" s="65" customFormat="1" ht="12.75">
      <c r="E188" s="65" t="s">
        <v>201</v>
      </c>
      <c r="I188" s="65">
        <v>0</v>
      </c>
    </row>
    <row r="189" spans="2:4" s="65" customFormat="1" ht="12.75">
      <c r="B189" s="65" t="s">
        <v>202</v>
      </c>
      <c r="D189" s="65" t="s">
        <v>203</v>
      </c>
    </row>
    <row r="190" s="65" customFormat="1" ht="12.75">
      <c r="D190" s="65" t="s">
        <v>204</v>
      </c>
    </row>
    <row r="191" s="65" customFormat="1" ht="12.75">
      <c r="D191" s="65" t="s">
        <v>205</v>
      </c>
    </row>
    <row r="192" s="65" customFormat="1" ht="12.75">
      <c r="D192" s="65" t="s">
        <v>191</v>
      </c>
    </row>
    <row r="193" spans="4:11" s="65" customFormat="1" ht="12.75">
      <c r="D193" s="65" t="s">
        <v>158</v>
      </c>
      <c r="H193" s="65">
        <v>0.00338</v>
      </c>
      <c r="K193" s="69">
        <f>N197/1000*H193</f>
        <v>0</v>
      </c>
    </row>
    <row r="194" spans="4:11" s="65" customFormat="1" ht="12.75">
      <c r="D194" s="65" t="s">
        <v>196</v>
      </c>
      <c r="H194" s="65">
        <v>0.00376</v>
      </c>
      <c r="K194" s="69">
        <f>N198/1000*H194</f>
        <v>0</v>
      </c>
    </row>
    <row r="195" spans="4:11" s="65" customFormat="1" ht="12.75">
      <c r="D195" s="65" t="s">
        <v>198</v>
      </c>
      <c r="H195" s="65">
        <v>0.00414</v>
      </c>
      <c r="K195" s="69">
        <f>N199/1000*H195</f>
        <v>0.019140875999999994</v>
      </c>
    </row>
    <row r="196" s="65" customFormat="1" ht="12.75">
      <c r="M196" s="65" t="s">
        <v>206</v>
      </c>
    </row>
    <row r="197" spans="1:13" s="65" customFormat="1" ht="12.75">
      <c r="A197" s="65" t="s">
        <v>207</v>
      </c>
      <c r="B197" s="65" t="s">
        <v>208</v>
      </c>
      <c r="D197" s="65" t="s">
        <v>203</v>
      </c>
      <c r="M197" s="65" t="s">
        <v>158</v>
      </c>
    </row>
    <row r="198" spans="4:13" s="65" customFormat="1" ht="12.75">
      <c r="D198" s="65" t="s">
        <v>209</v>
      </c>
      <c r="M198" s="73" t="s">
        <v>166</v>
      </c>
    </row>
    <row r="199" spans="4:14" s="65" customFormat="1" ht="12.75">
      <c r="D199" s="65" t="s">
        <v>191</v>
      </c>
      <c r="M199" s="65" t="s">
        <v>174</v>
      </c>
      <c r="N199" s="65">
        <f>N171</f>
        <v>4623.4</v>
      </c>
    </row>
    <row r="200" spans="4:11" s="65" customFormat="1" ht="12.75">
      <c r="D200" s="65" t="s">
        <v>158</v>
      </c>
      <c r="H200" s="65">
        <v>0.02043</v>
      </c>
      <c r="I200" s="65">
        <v>0</v>
      </c>
      <c r="K200" s="65">
        <f>N184/1000*H200</f>
        <v>0</v>
      </c>
    </row>
    <row r="201" spans="4:13" s="65" customFormat="1" ht="12.75">
      <c r="D201" s="65" t="s">
        <v>196</v>
      </c>
      <c r="H201" s="65">
        <v>0.0227</v>
      </c>
      <c r="I201" s="65">
        <v>0</v>
      </c>
      <c r="K201" s="65">
        <f>N185/1000*H201</f>
        <v>0</v>
      </c>
      <c r="M201" s="65" t="s">
        <v>210</v>
      </c>
    </row>
    <row r="202" spans="4:13" s="65" customFormat="1" ht="12.75">
      <c r="D202" s="65" t="s">
        <v>198</v>
      </c>
      <c r="H202" s="65">
        <v>0.02497</v>
      </c>
      <c r="I202" s="65">
        <v>0</v>
      </c>
      <c r="K202" s="65">
        <f>N186/1000*H202</f>
        <v>0</v>
      </c>
      <c r="M202" s="65" t="s">
        <v>158</v>
      </c>
    </row>
    <row r="203" spans="4:13" s="65" customFormat="1" ht="12.75">
      <c r="D203" s="65" t="s">
        <v>211</v>
      </c>
      <c r="M203" s="73" t="s">
        <v>166</v>
      </c>
    </row>
    <row r="204" spans="4:14" s="65" customFormat="1" ht="12.75">
      <c r="D204" s="65" t="s">
        <v>191</v>
      </c>
      <c r="M204" s="65" t="s">
        <v>174</v>
      </c>
      <c r="N204" s="65">
        <v>95</v>
      </c>
    </row>
    <row r="205" spans="4:6" s="65" customFormat="1" ht="12.75">
      <c r="D205" s="65" t="s">
        <v>192</v>
      </c>
      <c r="F205" s="65" t="s">
        <v>193</v>
      </c>
    </row>
    <row r="206" spans="4:11" s="65" customFormat="1" ht="12.75">
      <c r="D206" s="65" t="s">
        <v>158</v>
      </c>
      <c r="H206" s="65">
        <v>0.00999</v>
      </c>
      <c r="K206" s="69">
        <f>N169/1000*H206</f>
        <v>0</v>
      </c>
    </row>
    <row r="207" spans="4:11" s="65" customFormat="1" ht="12.75">
      <c r="D207" s="65" t="s">
        <v>196</v>
      </c>
      <c r="H207" s="65">
        <v>0.0111</v>
      </c>
      <c r="K207" s="69">
        <f>N170/1000*H207</f>
        <v>0</v>
      </c>
    </row>
    <row r="208" spans="4:11" s="65" customFormat="1" ht="12.75">
      <c r="D208" s="65" t="s">
        <v>198</v>
      </c>
      <c r="H208" s="65">
        <v>0.01221</v>
      </c>
      <c r="I208" s="65">
        <v>0</v>
      </c>
      <c r="K208" s="69">
        <f>N171/1000*H208</f>
        <v>0.05645171399999999</v>
      </c>
    </row>
    <row r="209" s="65" customFormat="1" ht="12.75">
      <c r="I209" s="65">
        <v>0</v>
      </c>
    </row>
    <row r="210" spans="5:9" s="65" customFormat="1" ht="12.75">
      <c r="E210" s="65" t="s">
        <v>201</v>
      </c>
      <c r="G210" s="65">
        <v>0</v>
      </c>
      <c r="I210" s="65">
        <v>0</v>
      </c>
    </row>
    <row r="211" spans="1:6" s="65" customFormat="1" ht="12.75">
      <c r="A211" s="65" t="s">
        <v>212</v>
      </c>
      <c r="B211" s="65" t="s">
        <v>213</v>
      </c>
      <c r="D211" s="65" t="s">
        <v>203</v>
      </c>
      <c r="F211" s="65" t="s">
        <v>193</v>
      </c>
    </row>
    <row r="212" spans="2:6" s="65" customFormat="1" ht="12.75">
      <c r="B212" s="65" t="s">
        <v>214</v>
      </c>
      <c r="D212" s="65" t="s">
        <v>209</v>
      </c>
      <c r="F212" s="65" t="s">
        <v>215</v>
      </c>
    </row>
    <row r="213" spans="4:6" s="65" customFormat="1" ht="12.75">
      <c r="D213" s="65" t="s">
        <v>191</v>
      </c>
      <c r="F213" s="65" t="s">
        <v>216</v>
      </c>
    </row>
    <row r="214" spans="4:11" s="65" customFormat="1" ht="12.75">
      <c r="D214" s="65" t="s">
        <v>158</v>
      </c>
      <c r="H214" s="65">
        <v>0.018432</v>
      </c>
      <c r="I214" s="65">
        <v>0</v>
      </c>
      <c r="K214" s="65">
        <f>N184/1000*H214</f>
        <v>0</v>
      </c>
    </row>
    <row r="215" spans="4:11" s="65" customFormat="1" ht="12.75">
      <c r="D215" s="65" t="s">
        <v>196</v>
      </c>
      <c r="H215" s="65">
        <v>0.02048</v>
      </c>
      <c r="I215" s="65">
        <v>0</v>
      </c>
      <c r="K215" s="65">
        <f>N185/1000*H215</f>
        <v>0</v>
      </c>
    </row>
    <row r="216" spans="4:11" s="65" customFormat="1" ht="12.75">
      <c r="D216" s="65" t="s">
        <v>198</v>
      </c>
      <c r="K216" s="65">
        <f>N186/1000*H216</f>
        <v>0</v>
      </c>
    </row>
    <row r="217" s="65" customFormat="1" ht="12.75">
      <c r="D217" s="65" t="s">
        <v>211</v>
      </c>
    </row>
    <row r="218" s="65" customFormat="1" ht="12.75">
      <c r="D218" s="65" t="s">
        <v>191</v>
      </c>
    </row>
    <row r="219" s="65" customFormat="1" ht="12.75">
      <c r="D219" s="65" t="s">
        <v>192</v>
      </c>
    </row>
    <row r="220" spans="4:11" s="65" customFormat="1" ht="12.75">
      <c r="D220" s="65" t="s">
        <v>158</v>
      </c>
      <c r="K220" s="69">
        <f>N169/1000*H220</f>
        <v>0</v>
      </c>
    </row>
    <row r="221" spans="4:11" s="65" customFormat="1" ht="12.75">
      <c r="D221" s="65" t="s">
        <v>196</v>
      </c>
      <c r="H221" s="65">
        <v>0.02295</v>
      </c>
      <c r="I221" s="65">
        <v>0</v>
      </c>
      <c r="K221" s="69">
        <f>N170/1000*H221</f>
        <v>0</v>
      </c>
    </row>
    <row r="222" spans="4:11" s="65" customFormat="1" ht="12.75">
      <c r="D222" s="65" t="s">
        <v>198</v>
      </c>
      <c r="H222" s="65">
        <v>0.025245</v>
      </c>
      <c r="I222" s="65">
        <v>0</v>
      </c>
      <c r="K222" s="69">
        <f>N171/1000*H222</f>
        <v>0.11671773299999998</v>
      </c>
    </row>
    <row r="223" spans="5:11" s="65" customFormat="1" ht="12.75">
      <c r="E223" s="65" t="s">
        <v>201</v>
      </c>
      <c r="G223" s="65">
        <v>0</v>
      </c>
      <c r="I223" s="65">
        <v>0</v>
      </c>
      <c r="K223" s="69"/>
    </row>
    <row r="224" s="65" customFormat="1" ht="12.75">
      <c r="K224" s="69"/>
    </row>
    <row r="225" spans="1:11" s="65" customFormat="1" ht="12.75">
      <c r="A225" s="65" t="s">
        <v>217</v>
      </c>
      <c r="B225" s="65" t="s">
        <v>218</v>
      </c>
      <c r="D225" s="65" t="s">
        <v>203</v>
      </c>
      <c r="K225" s="69"/>
    </row>
    <row r="226" spans="4:11" s="65" customFormat="1" ht="12.75">
      <c r="D226" s="65" t="s">
        <v>209</v>
      </c>
      <c r="K226" s="69"/>
    </row>
    <row r="227" spans="4:11" s="65" customFormat="1" ht="12.75">
      <c r="D227" s="65" t="s">
        <v>191</v>
      </c>
      <c r="K227" s="69"/>
    </row>
    <row r="228" spans="4:11" s="65" customFormat="1" ht="12.75">
      <c r="D228" s="65" t="s">
        <v>158</v>
      </c>
      <c r="H228" s="65">
        <v>0.027585</v>
      </c>
      <c r="I228" s="65">
        <v>0</v>
      </c>
      <c r="K228" s="69">
        <f>N184/1000*H228</f>
        <v>0</v>
      </c>
    </row>
    <row r="229" spans="4:11" s="65" customFormat="1" ht="12.75">
      <c r="D229" s="65" t="s">
        <v>196</v>
      </c>
      <c r="H229" s="65">
        <v>0.3065</v>
      </c>
      <c r="I229" s="65">
        <v>0</v>
      </c>
      <c r="K229" s="69">
        <f>N185/1000*H229</f>
        <v>0</v>
      </c>
    </row>
    <row r="230" spans="4:11" s="65" customFormat="1" ht="12.75">
      <c r="D230" s="65" t="s">
        <v>198</v>
      </c>
      <c r="K230" s="69">
        <f>N186/1000*H230</f>
        <v>0</v>
      </c>
    </row>
    <row r="231" spans="4:11" s="65" customFormat="1" ht="12.75">
      <c r="D231" s="65" t="s">
        <v>211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192</v>
      </c>
      <c r="K233" s="69"/>
    </row>
    <row r="234" spans="4:11" s="65" customFormat="1" ht="12.75">
      <c r="D234" s="65" t="s">
        <v>158</v>
      </c>
      <c r="K234" s="69">
        <f>N169/1000*H234</f>
        <v>0</v>
      </c>
    </row>
    <row r="235" spans="4:11" s="65" customFormat="1" ht="12.75">
      <c r="D235" s="65" t="s">
        <v>196</v>
      </c>
      <c r="H235" s="65">
        <v>0.00539</v>
      </c>
      <c r="I235" s="65">
        <v>0</v>
      </c>
      <c r="K235" s="69">
        <f>N170/1000*H235</f>
        <v>0</v>
      </c>
    </row>
    <row r="236" spans="4:11" s="65" customFormat="1" ht="12.75">
      <c r="D236" s="65" t="s">
        <v>198</v>
      </c>
      <c r="H236" s="65">
        <v>0.005929</v>
      </c>
      <c r="I236" s="65">
        <v>0</v>
      </c>
      <c r="K236" s="69">
        <f>N171/1000*H236</f>
        <v>0.027412138599999997</v>
      </c>
    </row>
    <row r="237" spans="5:11" s="65" customFormat="1" ht="12.75">
      <c r="E237" s="65" t="s">
        <v>201</v>
      </c>
      <c r="G237" s="65">
        <v>0</v>
      </c>
      <c r="I237" s="65">
        <v>0</v>
      </c>
      <c r="K237" s="69"/>
    </row>
    <row r="238" s="65" customFormat="1" ht="12.75">
      <c r="K238" s="69"/>
    </row>
    <row r="239" spans="1:11" s="65" customFormat="1" ht="12.75">
      <c r="A239" s="65" t="s">
        <v>219</v>
      </c>
      <c r="B239" s="65" t="s">
        <v>220</v>
      </c>
      <c r="D239" s="65" t="s">
        <v>203</v>
      </c>
      <c r="K239" s="69"/>
    </row>
    <row r="240" spans="2:11" s="65" customFormat="1" ht="12.75">
      <c r="B240" s="65" t="s">
        <v>214</v>
      </c>
      <c r="D240" s="65" t="s">
        <v>209</v>
      </c>
      <c r="K240" s="69"/>
    </row>
    <row r="241" spans="4:11" s="65" customFormat="1" ht="12.75">
      <c r="D241" s="65" t="s">
        <v>191</v>
      </c>
      <c r="K241" s="69"/>
    </row>
    <row r="242" spans="4:11" s="65" customFormat="1" ht="12.75">
      <c r="D242" s="65" t="s">
        <v>158</v>
      </c>
      <c r="H242" s="65">
        <v>0.022437</v>
      </c>
      <c r="I242" s="65">
        <v>0</v>
      </c>
      <c r="K242" s="69">
        <f>N184/1000*H242</f>
        <v>0</v>
      </c>
    </row>
    <row r="243" spans="4:11" s="65" customFormat="1" ht="12.75">
      <c r="D243" s="65" t="s">
        <v>196</v>
      </c>
      <c r="H243" s="65">
        <v>0.02493</v>
      </c>
      <c r="I243" s="65">
        <v>0</v>
      </c>
      <c r="K243" s="69">
        <f>N185/1000*H243</f>
        <v>0</v>
      </c>
    </row>
    <row r="244" spans="4:11" s="65" customFormat="1" ht="12.75">
      <c r="D244" s="65" t="s">
        <v>198</v>
      </c>
      <c r="K244" s="65">
        <f>N186/1000*H244</f>
        <v>0</v>
      </c>
    </row>
    <row r="245" s="65" customFormat="1" ht="12.75">
      <c r="D245" s="65" t="s">
        <v>211</v>
      </c>
    </row>
    <row r="246" s="65" customFormat="1" ht="12.75">
      <c r="D246" s="65" t="s">
        <v>191</v>
      </c>
    </row>
    <row r="247" s="65" customFormat="1" ht="12.75">
      <c r="D247" s="65" t="s">
        <v>192</v>
      </c>
    </row>
    <row r="248" spans="4:11" s="65" customFormat="1" ht="12.75">
      <c r="D248" s="65" t="s">
        <v>158</v>
      </c>
      <c r="K248" s="69">
        <f>N169/1000*H248</f>
        <v>0</v>
      </c>
    </row>
    <row r="249" spans="4:11" s="65" customFormat="1" ht="12.75">
      <c r="D249" s="65" t="s">
        <v>196</v>
      </c>
      <c r="H249" s="65">
        <v>0.00888</v>
      </c>
      <c r="I249" s="65">
        <v>0</v>
      </c>
      <c r="K249" s="69">
        <f>N170/1000*H249</f>
        <v>0</v>
      </c>
    </row>
    <row r="250" spans="4:11" s="65" customFormat="1" ht="12.75">
      <c r="D250" s="65" t="s">
        <v>198</v>
      </c>
      <c r="H250" s="65">
        <v>0.009768</v>
      </c>
      <c r="I250" s="65">
        <v>0</v>
      </c>
      <c r="K250" s="69">
        <f>N171/1000*H250</f>
        <v>0.045161371199999994</v>
      </c>
    </row>
    <row r="251" spans="5:11" s="65" customFormat="1" ht="12.75">
      <c r="E251" s="65" t="s">
        <v>201</v>
      </c>
      <c r="G251" s="65">
        <v>0</v>
      </c>
      <c r="I251" s="65">
        <v>0</v>
      </c>
      <c r="K251" s="69"/>
    </row>
    <row r="252" s="65" customFormat="1" ht="12.75">
      <c r="K252" s="69"/>
    </row>
    <row r="253" spans="2:4" s="65" customFormat="1" ht="12.75">
      <c r="B253" s="65" t="s">
        <v>221</v>
      </c>
      <c r="D253" s="65" t="s">
        <v>203</v>
      </c>
    </row>
    <row r="254" s="65" customFormat="1" ht="12.75">
      <c r="D254" s="65" t="s">
        <v>204</v>
      </c>
    </row>
    <row r="255" s="65" customFormat="1" ht="12.75">
      <c r="D255" s="65" t="s">
        <v>205</v>
      </c>
    </row>
    <row r="256" s="65" customFormat="1" ht="12.75">
      <c r="D256" s="65" t="s">
        <v>191</v>
      </c>
    </row>
    <row r="257" spans="4:11" s="65" customFormat="1" ht="12.75">
      <c r="D257" s="65" t="s">
        <v>158</v>
      </c>
      <c r="H257" s="65">
        <v>0.0243</v>
      </c>
      <c r="K257" s="69">
        <f>N197/1000*H257</f>
        <v>0</v>
      </c>
    </row>
    <row r="258" spans="4:11" s="65" customFormat="1" ht="12.75">
      <c r="D258" s="65" t="s">
        <v>196</v>
      </c>
      <c r="H258" s="65">
        <v>0.027</v>
      </c>
      <c r="K258" s="69">
        <f>N198/1000*H258</f>
        <v>0</v>
      </c>
    </row>
    <row r="259" spans="4:11" s="65" customFormat="1" ht="12.75">
      <c r="D259" s="65" t="s">
        <v>198</v>
      </c>
      <c r="H259" s="65">
        <v>0.0297</v>
      </c>
      <c r="K259" s="69">
        <f>N199/1000*H259</f>
        <v>0.13731497999999998</v>
      </c>
    </row>
    <row r="260" spans="1:11" s="65" customFormat="1" ht="12.75">
      <c r="A260" s="65" t="s">
        <v>222</v>
      </c>
      <c r="B260" s="65" t="s">
        <v>223</v>
      </c>
      <c r="D260" s="65" t="s">
        <v>203</v>
      </c>
      <c r="K260" s="69"/>
    </row>
    <row r="261" spans="4:11" s="65" customFormat="1" ht="12.75">
      <c r="D261" s="65" t="s">
        <v>209</v>
      </c>
      <c r="K261" s="69"/>
    </row>
    <row r="262" spans="4:11" s="65" customFormat="1" ht="12.75">
      <c r="D262" s="65" t="s">
        <v>191</v>
      </c>
      <c r="K262" s="69"/>
    </row>
    <row r="263" spans="4:11" s="65" customFormat="1" ht="12.75">
      <c r="D263" s="65" t="s">
        <v>158</v>
      </c>
      <c r="H263" s="65">
        <v>0.01773</v>
      </c>
      <c r="I263" s="65">
        <v>0</v>
      </c>
      <c r="K263" s="69">
        <f>N184/1000*H263</f>
        <v>0</v>
      </c>
    </row>
    <row r="264" spans="4:11" s="65" customFormat="1" ht="12.75">
      <c r="D264" s="65" t="s">
        <v>196</v>
      </c>
      <c r="H264" s="65">
        <v>0.0197</v>
      </c>
      <c r="I264" s="65">
        <v>0</v>
      </c>
      <c r="K264" s="69">
        <f>N185/1000*H264</f>
        <v>0</v>
      </c>
    </row>
    <row r="265" spans="4:11" s="65" customFormat="1" ht="12.75">
      <c r="D265" s="65" t="s">
        <v>198</v>
      </c>
      <c r="K265" s="69">
        <f>N186/1000*H265</f>
        <v>0</v>
      </c>
    </row>
    <row r="266" spans="4:11" s="65" customFormat="1" ht="12.75">
      <c r="D266" s="65" t="s">
        <v>211</v>
      </c>
      <c r="K266" s="69"/>
    </row>
    <row r="267" spans="4:11" s="65" customFormat="1" ht="12.75">
      <c r="D267" s="65" t="s">
        <v>191</v>
      </c>
      <c r="K267" s="69"/>
    </row>
    <row r="268" spans="4:11" s="65" customFormat="1" ht="12.75">
      <c r="D268" s="65" t="s">
        <v>192</v>
      </c>
      <c r="K268" s="69"/>
    </row>
    <row r="269" spans="4:11" s="65" customFormat="1" ht="12.75">
      <c r="D269" s="65" t="s">
        <v>158</v>
      </c>
      <c r="K269" s="69">
        <f>N169/1000*H269</f>
        <v>0</v>
      </c>
    </row>
    <row r="270" spans="4:11" s="65" customFormat="1" ht="12.75">
      <c r="D270" s="65" t="s">
        <v>196</v>
      </c>
      <c r="H270" s="65">
        <v>0.0018</v>
      </c>
      <c r="I270" s="65">
        <v>0</v>
      </c>
      <c r="K270" s="69">
        <f>N170/1000*H270</f>
        <v>0</v>
      </c>
    </row>
    <row r="271" spans="4:11" s="65" customFormat="1" ht="12.75">
      <c r="D271" s="65" t="s">
        <v>198</v>
      </c>
      <c r="H271" s="65">
        <v>0.00198</v>
      </c>
      <c r="I271" s="65">
        <v>0</v>
      </c>
      <c r="K271" s="69">
        <f>N171/1000*H271</f>
        <v>0.009154332</v>
      </c>
    </row>
    <row r="272" spans="5:11" s="65" customFormat="1" ht="12.75">
      <c r="E272" s="65" t="s">
        <v>201</v>
      </c>
      <c r="G272" s="65">
        <v>0</v>
      </c>
      <c r="I272" s="65">
        <v>0</v>
      </c>
      <c r="K272" s="69"/>
    </row>
    <row r="273" s="65" customFormat="1" ht="12.75">
      <c r="K273" s="69"/>
    </row>
    <row r="274" spans="2:7" s="65" customFormat="1" ht="12.75">
      <c r="B274" s="65" t="s">
        <v>224</v>
      </c>
      <c r="D274" s="65" t="s">
        <v>203</v>
      </c>
      <c r="G274" s="65" t="s">
        <v>225</v>
      </c>
    </row>
    <row r="275" spans="4:7" s="65" customFormat="1" ht="12.75">
      <c r="D275" s="65" t="s">
        <v>204</v>
      </c>
      <c r="G275" s="65" t="s">
        <v>226</v>
      </c>
    </row>
    <row r="276" spans="4:7" s="65" customFormat="1" ht="12.75">
      <c r="D276" s="65" t="s">
        <v>205</v>
      </c>
      <c r="G276" s="65" t="s">
        <v>227</v>
      </c>
    </row>
    <row r="277" s="65" customFormat="1" ht="12.75">
      <c r="D277" s="65" t="s">
        <v>191</v>
      </c>
    </row>
    <row r="278" spans="4:11" s="65" customFormat="1" ht="12.75">
      <c r="D278" s="65" t="s">
        <v>158</v>
      </c>
      <c r="H278" s="65">
        <v>0.02367</v>
      </c>
      <c r="K278" s="69">
        <f>N179/1000*H278</f>
        <v>0</v>
      </c>
    </row>
    <row r="279" spans="4:11" s="65" customFormat="1" ht="12.75">
      <c r="D279" s="65" t="s">
        <v>196</v>
      </c>
      <c r="H279" s="65">
        <v>0.0263</v>
      </c>
      <c r="K279" s="69">
        <f>N180/1000*H279</f>
        <v>0</v>
      </c>
    </row>
    <row r="280" spans="4:11" s="65" customFormat="1" ht="12.75">
      <c r="D280" s="65" t="s">
        <v>198</v>
      </c>
      <c r="H280" s="65">
        <v>0.02893</v>
      </c>
      <c r="K280" s="69">
        <f>N181/1000*H280</f>
        <v>0.025817132</v>
      </c>
    </row>
    <row r="281" s="65" customFormat="1" ht="12.75">
      <c r="K281" s="69"/>
    </row>
    <row r="282" spans="1:11" s="65" customFormat="1" ht="12.75">
      <c r="A282" s="65" t="s">
        <v>228</v>
      </c>
      <c r="B282" s="65" t="s">
        <v>229</v>
      </c>
      <c r="D282" s="65" t="s">
        <v>203</v>
      </c>
      <c r="K282" s="69"/>
    </row>
    <row r="283" spans="2:11" s="65" customFormat="1" ht="12.75">
      <c r="B283" s="65" t="s">
        <v>230</v>
      </c>
      <c r="D283" s="65" t="s">
        <v>209</v>
      </c>
      <c r="K283" s="69"/>
    </row>
    <row r="284" spans="4:11" s="65" customFormat="1" ht="12.75">
      <c r="D284" s="65" t="s">
        <v>191</v>
      </c>
      <c r="K284" s="69"/>
    </row>
    <row r="285" spans="4:11" s="65" customFormat="1" ht="12.75">
      <c r="D285" s="65" t="s">
        <v>158</v>
      </c>
      <c r="H285" s="65">
        <v>0.014679</v>
      </c>
      <c r="I285" s="65">
        <v>0</v>
      </c>
      <c r="K285" s="69">
        <f>N184/1000*H285</f>
        <v>0</v>
      </c>
    </row>
    <row r="286" spans="4:11" s="65" customFormat="1" ht="12.75">
      <c r="D286" s="65" t="s">
        <v>196</v>
      </c>
      <c r="H286" s="65">
        <v>0.01631</v>
      </c>
      <c r="I286" s="65">
        <v>0</v>
      </c>
      <c r="K286" s="69">
        <f>N185/1000*H286</f>
        <v>0</v>
      </c>
    </row>
    <row r="287" spans="4:11" s="65" customFormat="1" ht="12.75">
      <c r="D287" s="65" t="s">
        <v>198</v>
      </c>
      <c r="K287" s="69">
        <f>N186/1000*H287</f>
        <v>0</v>
      </c>
    </row>
    <row r="288" spans="4:11" s="65" customFormat="1" ht="12.75">
      <c r="D288" s="65" t="s">
        <v>211</v>
      </c>
      <c r="K288" s="69"/>
    </row>
    <row r="289" spans="4:11" s="65" customFormat="1" ht="12.75">
      <c r="D289" s="65" t="s">
        <v>191</v>
      </c>
      <c r="K289" s="69"/>
    </row>
    <row r="290" spans="4:11" s="65" customFormat="1" ht="12.75">
      <c r="D290" s="65" t="s">
        <v>192</v>
      </c>
      <c r="K290" s="69"/>
    </row>
    <row r="291" spans="4:11" s="65" customFormat="1" ht="12.75">
      <c r="D291" s="65" t="s">
        <v>158</v>
      </c>
      <c r="K291" s="69">
        <f>N169/1000*H291</f>
        <v>0</v>
      </c>
    </row>
    <row r="292" spans="4:11" s="65" customFormat="1" ht="12.75">
      <c r="D292" s="65" t="s">
        <v>196</v>
      </c>
      <c r="H292" s="65">
        <v>0.01631</v>
      </c>
      <c r="I292" s="65">
        <v>0</v>
      </c>
      <c r="K292" s="69">
        <f>N170/1000*H292</f>
        <v>0</v>
      </c>
    </row>
    <row r="293" spans="4:11" s="65" customFormat="1" ht="12.75">
      <c r="D293" s="65" t="s">
        <v>198</v>
      </c>
      <c r="H293" s="65">
        <v>0.017941</v>
      </c>
      <c r="I293" s="65">
        <v>0</v>
      </c>
      <c r="K293" s="69">
        <f>N171/1000*H293</f>
        <v>0.08294841939999999</v>
      </c>
    </row>
    <row r="294" spans="5:11" s="65" customFormat="1" ht="12.75">
      <c r="E294" s="65" t="s">
        <v>201</v>
      </c>
      <c r="G294" s="65">
        <v>0</v>
      </c>
      <c r="I294" s="65">
        <v>0</v>
      </c>
      <c r="K294" s="69"/>
    </row>
    <row r="295" s="65" customFormat="1" ht="12.75">
      <c r="K295" s="69"/>
    </row>
    <row r="296" spans="1:11" s="65" customFormat="1" ht="12.75">
      <c r="A296" s="65" t="s">
        <v>231</v>
      </c>
      <c r="B296" s="65" t="s">
        <v>232</v>
      </c>
      <c r="D296" s="65" t="s">
        <v>203</v>
      </c>
      <c r="K296" s="69"/>
    </row>
    <row r="297" spans="2:11" s="65" customFormat="1" ht="12.75">
      <c r="B297" s="65" t="s">
        <v>233</v>
      </c>
      <c r="D297" s="65" t="s">
        <v>211</v>
      </c>
      <c r="K297" s="69"/>
    </row>
    <row r="298" spans="4:11" s="65" customFormat="1" ht="12.75">
      <c r="D298" s="65" t="s">
        <v>209</v>
      </c>
      <c r="K298" s="69"/>
    </row>
    <row r="299" spans="4:11" s="65" customFormat="1" ht="12.75">
      <c r="D299" s="65" t="s">
        <v>234</v>
      </c>
      <c r="K299" s="69"/>
    </row>
    <row r="300" spans="4:11" s="65" customFormat="1" ht="12.75">
      <c r="D300" s="65" t="s">
        <v>235</v>
      </c>
      <c r="F300" s="65" t="s">
        <v>236</v>
      </c>
      <c r="K300" s="69"/>
    </row>
    <row r="301" spans="4:11" s="65" customFormat="1" ht="12.75">
      <c r="D301" s="65" t="s">
        <v>191</v>
      </c>
      <c r="F301" s="65" t="s">
        <v>237</v>
      </c>
      <c r="K301" s="69"/>
    </row>
    <row r="302" spans="4:11" s="65" customFormat="1" ht="12.75">
      <c r="D302" s="65" t="s">
        <v>158</v>
      </c>
      <c r="H302" s="65">
        <v>41000</v>
      </c>
      <c r="I302" s="65">
        <v>0</v>
      </c>
      <c r="K302" s="69">
        <f>N197/H302</f>
        <v>0</v>
      </c>
    </row>
    <row r="303" spans="4:11" s="65" customFormat="1" ht="12.75">
      <c r="D303" s="65" t="s">
        <v>196</v>
      </c>
      <c r="H303" s="65">
        <v>39000</v>
      </c>
      <c r="I303" s="65">
        <v>0</v>
      </c>
      <c r="K303" s="69">
        <f>N198/H303</f>
        <v>0</v>
      </c>
    </row>
    <row r="304" spans="4:11" s="65" customFormat="1" ht="12.75">
      <c r="D304" s="65" t="s">
        <v>198</v>
      </c>
      <c r="H304" s="65">
        <v>37000</v>
      </c>
      <c r="I304" s="65">
        <v>0</v>
      </c>
      <c r="K304" s="69">
        <f>N199/H304</f>
        <v>0.12495675675675674</v>
      </c>
    </row>
    <row r="305" s="65" customFormat="1" ht="12.75">
      <c r="K305" s="69"/>
    </row>
    <row r="306" spans="4:11" s="65" customFormat="1" ht="12.75">
      <c r="D306" s="65" t="s">
        <v>238</v>
      </c>
      <c r="K306" s="69"/>
    </row>
    <row r="307" spans="4:11" s="65" customFormat="1" ht="12.75">
      <c r="D307" s="65" t="s">
        <v>239</v>
      </c>
      <c r="F307" s="65" t="s">
        <v>240</v>
      </c>
      <c r="K307" s="69"/>
    </row>
    <row r="308" spans="4:11" s="65" customFormat="1" ht="12.75">
      <c r="D308" s="65" t="s">
        <v>191</v>
      </c>
      <c r="K308" s="69"/>
    </row>
    <row r="309" spans="4:11" s="65" customFormat="1" ht="12.75">
      <c r="D309" s="65" t="s">
        <v>158</v>
      </c>
      <c r="H309" s="65">
        <v>450</v>
      </c>
      <c r="I309" s="65">
        <v>0</v>
      </c>
      <c r="K309" s="69">
        <f>N202/H309</f>
        <v>0</v>
      </c>
    </row>
    <row r="310" spans="4:11" s="65" customFormat="1" ht="12.75">
      <c r="D310" s="65" t="s">
        <v>196</v>
      </c>
      <c r="H310" s="65">
        <v>375</v>
      </c>
      <c r="I310" s="65">
        <v>0</v>
      </c>
      <c r="K310" s="69">
        <f>N203/H310</f>
        <v>0</v>
      </c>
    </row>
    <row r="311" spans="4:11" s="65" customFormat="1" ht="12.75">
      <c r="D311" s="65" t="s">
        <v>198</v>
      </c>
      <c r="H311" s="65">
        <v>310</v>
      </c>
      <c r="I311" s="65">
        <v>0</v>
      </c>
      <c r="K311" s="69">
        <f>N204/H311</f>
        <v>0.3064516129032258</v>
      </c>
    </row>
    <row r="312" spans="5:11" s="65" customFormat="1" ht="12.75">
      <c r="E312" s="65" t="s">
        <v>201</v>
      </c>
      <c r="G312" s="65">
        <v>0</v>
      </c>
      <c r="I312" s="65">
        <v>0</v>
      </c>
      <c r="K312" s="69"/>
    </row>
    <row r="313" s="65" customFormat="1" ht="12.75">
      <c r="K313" s="69"/>
    </row>
    <row r="314" spans="1:11" s="65" customFormat="1" ht="12.75">
      <c r="A314" s="65" t="s">
        <v>241</v>
      </c>
      <c r="B314" s="65" t="s">
        <v>242</v>
      </c>
      <c r="D314" s="65" t="s">
        <v>243</v>
      </c>
      <c r="K314" s="69"/>
    </row>
    <row r="315" spans="4:11" s="65" customFormat="1" ht="12.75">
      <c r="D315" s="65" t="s">
        <v>244</v>
      </c>
      <c r="F315" s="65" t="s">
        <v>240</v>
      </c>
      <c r="K315" s="69"/>
    </row>
    <row r="316" spans="4:11" s="65" customFormat="1" ht="12.75">
      <c r="D316" s="65" t="s">
        <v>245</v>
      </c>
      <c r="K316" s="69"/>
    </row>
    <row r="317" spans="4:11" s="65" customFormat="1" ht="12.75">
      <c r="D317" s="65" t="s">
        <v>158</v>
      </c>
      <c r="H317" s="65">
        <v>2350</v>
      </c>
      <c r="I317" s="65">
        <v>0</v>
      </c>
      <c r="K317" s="69">
        <f>N202/H317</f>
        <v>0</v>
      </c>
    </row>
    <row r="318" spans="4:11" s="65" customFormat="1" ht="12.75">
      <c r="D318" s="65" t="s">
        <v>196</v>
      </c>
      <c r="H318" s="65">
        <v>2250</v>
      </c>
      <c r="I318" s="65">
        <v>0</v>
      </c>
      <c r="K318" s="69">
        <f>N203/H318</f>
        <v>0</v>
      </c>
    </row>
    <row r="319" spans="4:11" s="65" customFormat="1" ht="12.75">
      <c r="D319" s="65" t="s">
        <v>198</v>
      </c>
      <c r="H319" s="65">
        <v>2200</v>
      </c>
      <c r="I319" s="65">
        <v>0</v>
      </c>
      <c r="K319" s="69">
        <f>N204/H319</f>
        <v>0.04318181818181818</v>
      </c>
    </row>
    <row r="320" spans="5:11" s="65" customFormat="1" ht="12.75">
      <c r="E320" s="65" t="s">
        <v>201</v>
      </c>
      <c r="G320" s="65">
        <v>0</v>
      </c>
      <c r="I320" s="65">
        <v>0</v>
      </c>
      <c r="K320" s="69"/>
    </row>
    <row r="321" s="65" customFormat="1" ht="12.75">
      <c r="K321" s="69">
        <f>K183+K184+K185+K193+K194+K195+K200+K201+K202+K206+K207+K208+K214+K215+K216+K220+K221+K222+K228+K229+K230+K234+K235+K236+K242+K243+K244+K248+K249+K250+K257+K258+K259+K263+K264+K265+K269+K270+K271+K278+K279+K280+K285+K286+K287+K291+K292+K293+K302+K303+K304+K309+K310+K311+K317+K318+K319</f>
        <v>1.0882993340418008</v>
      </c>
    </row>
    <row r="322" spans="1:11" s="65" customFormat="1" ht="12.75">
      <c r="A322" s="65" t="s">
        <v>246</v>
      </c>
      <c r="B322" s="65" t="s">
        <v>247</v>
      </c>
      <c r="F322" s="65" t="s">
        <v>248</v>
      </c>
      <c r="I322" s="65">
        <v>1</v>
      </c>
      <c r="K322" s="69">
        <f>K321*1.12</f>
        <v>1.218895254126817</v>
      </c>
    </row>
    <row r="323" s="65" customFormat="1" ht="12.75">
      <c r="B323" s="65" t="s">
        <v>249</v>
      </c>
    </row>
    <row r="324" s="65" customFormat="1" ht="12.75">
      <c r="B324" s="65" t="s">
        <v>250</v>
      </c>
    </row>
    <row r="325" s="65" customFormat="1" ht="12.75"/>
    <row r="326" spans="1:9" s="65" customFormat="1" ht="12.75">
      <c r="A326" s="65" t="s">
        <v>251</v>
      </c>
      <c r="B326" s="65" t="s">
        <v>252</v>
      </c>
      <c r="I326" s="65">
        <v>2</v>
      </c>
    </row>
    <row r="327" spans="1:9" s="65" customFormat="1" ht="12.75">
      <c r="A327" s="65" t="s">
        <v>253</v>
      </c>
      <c r="B327" s="65" t="s">
        <v>254</v>
      </c>
      <c r="I327" s="65">
        <v>1</v>
      </c>
    </row>
    <row r="328" spans="1:9" s="65" customFormat="1" ht="12.75">
      <c r="A328" s="65" t="s">
        <v>255</v>
      </c>
      <c r="B328" s="65" t="s">
        <v>256</v>
      </c>
      <c r="I328" s="65">
        <v>1</v>
      </c>
    </row>
    <row r="329" spans="2:9" s="65" customFormat="1" ht="12.75">
      <c r="B329" s="65" t="s">
        <v>257</v>
      </c>
      <c r="I329" s="65">
        <v>5</v>
      </c>
    </row>
    <row r="330" s="65" customFormat="1" ht="12.75">
      <c r="F330" s="65" t="s">
        <v>258</v>
      </c>
    </row>
    <row r="331" spans="1:9" s="65" customFormat="1" ht="12.75">
      <c r="A331" s="65" t="s">
        <v>259</v>
      </c>
      <c r="B331" s="65" t="s">
        <v>260</v>
      </c>
      <c r="E331" s="65" t="s">
        <v>261</v>
      </c>
      <c r="H331" s="65">
        <v>1200</v>
      </c>
      <c r="I331" s="65">
        <f>G331/H331</f>
        <v>0</v>
      </c>
    </row>
    <row r="332" spans="5:9" s="65" customFormat="1" ht="12.75">
      <c r="E332" s="65" t="s">
        <v>262</v>
      </c>
      <c r="G332" s="65">
        <v>748</v>
      </c>
      <c r="H332" s="65">
        <v>1650</v>
      </c>
      <c r="I332" s="69">
        <f>G332/H332</f>
        <v>0.4533333333333333</v>
      </c>
    </row>
    <row r="333" spans="5:9" s="65" customFormat="1" ht="12.75">
      <c r="E333" s="65" t="s">
        <v>263</v>
      </c>
      <c r="G333" s="65">
        <v>3292.5</v>
      </c>
      <c r="H333" s="65">
        <v>9000</v>
      </c>
      <c r="I333" s="69">
        <f>G333/H333</f>
        <v>0.36583333333333334</v>
      </c>
    </row>
    <row r="334" spans="3:9" s="65" customFormat="1" ht="12.75">
      <c r="C334" s="65" t="s">
        <v>201</v>
      </c>
      <c r="G334" s="65">
        <f>G332+G333</f>
        <v>4040.5</v>
      </c>
      <c r="I334" s="69">
        <f>I331+I332+I333</f>
        <v>0.8191666666666666</v>
      </c>
    </row>
    <row r="335" s="65" customFormat="1" ht="12.75">
      <c r="F335" s="65" t="s">
        <v>258</v>
      </c>
    </row>
    <row r="336" spans="1:9" s="65" customFormat="1" ht="12.75">
      <c r="A336" s="65" t="s">
        <v>264</v>
      </c>
      <c r="B336" s="65" t="s">
        <v>265</v>
      </c>
      <c r="E336" s="65" t="s">
        <v>266</v>
      </c>
      <c r="G336" s="65">
        <v>408</v>
      </c>
      <c r="H336" s="65">
        <v>800</v>
      </c>
      <c r="I336" s="69">
        <f>G336/H336</f>
        <v>0.51</v>
      </c>
    </row>
    <row r="337" spans="2:9" s="65" customFormat="1" ht="12.75">
      <c r="B337" s="65" t="s">
        <v>267</v>
      </c>
      <c r="E337" s="65" t="s">
        <v>268</v>
      </c>
      <c r="H337" s="65">
        <v>960</v>
      </c>
      <c r="I337" s="69">
        <f>G337/H337</f>
        <v>0</v>
      </c>
    </row>
    <row r="338" s="65" customFormat="1" ht="12.75">
      <c r="E338" s="65" t="s">
        <v>269</v>
      </c>
    </row>
    <row r="339" spans="3:9" s="65" customFormat="1" ht="12.75">
      <c r="C339" s="65" t="s">
        <v>201</v>
      </c>
      <c r="G339" s="65">
        <f>G336+G337+G338</f>
        <v>408</v>
      </c>
      <c r="I339" s="69">
        <f>I336+I337</f>
        <v>0.51</v>
      </c>
    </row>
    <row r="340" s="65" customFormat="1" ht="12.75">
      <c r="F340" s="65" t="s">
        <v>270</v>
      </c>
    </row>
    <row r="341" spans="1:9" s="65" customFormat="1" ht="12.75">
      <c r="A341" s="65" t="s">
        <v>271</v>
      </c>
      <c r="B341" s="65" t="s">
        <v>272</v>
      </c>
      <c r="E341" s="65" t="s">
        <v>273</v>
      </c>
      <c r="H341" s="65">
        <v>500</v>
      </c>
      <c r="I341" s="69">
        <f>G341/H341</f>
        <v>0</v>
      </c>
    </row>
    <row r="342" spans="5:9" s="65" customFormat="1" ht="12.75">
      <c r="E342" s="65" t="s">
        <v>274</v>
      </c>
      <c r="H342" s="65">
        <v>700</v>
      </c>
      <c r="I342" s="69">
        <f>G342/H342</f>
        <v>0</v>
      </c>
    </row>
    <row r="343" s="65" customFormat="1" ht="12.75">
      <c r="E343" s="65" t="s">
        <v>275</v>
      </c>
    </row>
    <row r="344" spans="3:9" s="65" customFormat="1" ht="12.75">
      <c r="C344" s="65" t="s">
        <v>201</v>
      </c>
      <c r="G344" s="65">
        <f>G341+G342</f>
        <v>0</v>
      </c>
      <c r="I344" s="69">
        <f>I341+I342</f>
        <v>0</v>
      </c>
    </row>
    <row r="345" spans="1:2" s="65" customFormat="1" ht="12.75">
      <c r="A345" s="65" t="s">
        <v>276</v>
      </c>
      <c r="B345" s="65" t="s">
        <v>277</v>
      </c>
    </row>
    <row r="346" spans="2:9" s="65" customFormat="1" ht="12.75">
      <c r="B346" s="65" t="s">
        <v>278</v>
      </c>
      <c r="I346" s="65">
        <v>2</v>
      </c>
    </row>
  </sheetData>
  <sheetProtection/>
  <mergeCells count="47">
    <mergeCell ref="C134:I134"/>
    <mergeCell ref="A143:G143"/>
    <mergeCell ref="A147:E147"/>
    <mergeCell ref="A149:G149"/>
    <mergeCell ref="A153:D153"/>
    <mergeCell ref="A1:K1"/>
    <mergeCell ref="A2:K2"/>
    <mergeCell ref="A113:E113"/>
    <mergeCell ref="C102:D102"/>
    <mergeCell ref="A107:F107"/>
    <mergeCell ref="A109:G109"/>
    <mergeCell ref="A111:D111"/>
    <mergeCell ref="E111:G111"/>
    <mergeCell ref="A80:G80"/>
    <mergeCell ref="A82:G82"/>
    <mergeCell ref="A86:F86"/>
    <mergeCell ref="A91:D91"/>
    <mergeCell ref="A93:F93"/>
    <mergeCell ref="A97:E97"/>
    <mergeCell ref="A62:F62"/>
    <mergeCell ref="A68:F68"/>
    <mergeCell ref="A71:E71"/>
    <mergeCell ref="A74:G74"/>
    <mergeCell ref="A76:E76"/>
    <mergeCell ref="A78:G78"/>
    <mergeCell ref="A48:G48"/>
    <mergeCell ref="A50:G50"/>
    <mergeCell ref="A54:G54"/>
    <mergeCell ref="A56:G56"/>
    <mergeCell ref="A58:G58"/>
    <mergeCell ref="A60:F60"/>
    <mergeCell ref="A36:E36"/>
    <mergeCell ref="A38:G38"/>
    <mergeCell ref="A40:G40"/>
    <mergeCell ref="A42:G42"/>
    <mergeCell ref="A44:G44"/>
    <mergeCell ref="A46:G46"/>
    <mergeCell ref="A22:F22"/>
    <mergeCell ref="A24:F24"/>
    <mergeCell ref="A28:F28"/>
    <mergeCell ref="A30:G30"/>
    <mergeCell ref="A32:G32"/>
    <mergeCell ref="A34:G34"/>
    <mergeCell ref="A4:K4"/>
    <mergeCell ref="A5:K5"/>
    <mergeCell ref="A15:H15"/>
    <mergeCell ref="A17:G17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3:L14 M64 M80 M91 M101 L117:M117 H137:H139 H141 H143 K143 H149 H151 H153 H155 H157" evalError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P315"/>
  <sheetViews>
    <sheetView zoomScalePageLayoutView="0" workbookViewId="0" topLeftCell="A1">
      <selection activeCell="A60" sqref="A60:F60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4.0039062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6" width="9.140625" style="65" customWidth="1"/>
    <col min="17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726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65">
        <f>11.18*1.042</f>
        <v>11.64956</v>
      </c>
    </row>
    <row r="6" spans="1:13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65">
        <f>11.65*0.04</f>
        <v>0.466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6" s="9" customFormat="1" ht="15.75">
      <c r="A11" s="11"/>
      <c r="B11" s="11"/>
      <c r="C11" s="12"/>
      <c r="D11" s="11"/>
      <c r="K11" s="5"/>
      <c r="L11" s="67" t="e">
        <f>#REF!</f>
        <v>#REF!</v>
      </c>
      <c r="M11" s="67"/>
      <c r="N11" s="67"/>
      <c r="O11" s="67"/>
      <c r="P11" s="67"/>
    </row>
    <row r="12" spans="1:16" s="9" customFormat="1" ht="15.75">
      <c r="A12" s="11" t="s">
        <v>69</v>
      </c>
      <c r="B12" s="11"/>
      <c r="C12" s="12"/>
      <c r="D12" s="11"/>
      <c r="E12" s="9">
        <v>54528.1</v>
      </c>
      <c r="F12" s="9" t="s">
        <v>70</v>
      </c>
      <c r="H12" s="13"/>
      <c r="I12" s="13"/>
      <c r="K12" s="13"/>
      <c r="L12" s="92" t="e">
        <f>(K16+K30+K46+K57+K69+K76+#REF!+#REF!)</f>
        <v>#REF!</v>
      </c>
      <c r="M12" s="67"/>
      <c r="N12" s="67"/>
      <c r="O12" s="67"/>
      <c r="P12" s="67"/>
    </row>
    <row r="13" spans="3:16" s="9" customFormat="1" ht="15.75">
      <c r="C13" s="15" t="s">
        <v>71</v>
      </c>
      <c r="D13" s="15"/>
      <c r="K13" s="5"/>
      <c r="L13" s="67"/>
      <c r="M13" s="67"/>
      <c r="N13" s="67"/>
      <c r="O13" s="67"/>
      <c r="P13" s="67"/>
    </row>
    <row r="14" spans="1:13" ht="15.75">
      <c r="A14" s="114" t="s">
        <v>72</v>
      </c>
      <c r="B14" s="114"/>
      <c r="C14" s="114"/>
      <c r="D14" s="114"/>
      <c r="E14" s="114"/>
      <c r="F14" s="114"/>
      <c r="G14" s="114"/>
      <c r="H14" s="16"/>
      <c r="I14" s="16"/>
      <c r="J14" s="16"/>
      <c r="K14" s="17">
        <f>K16+K30+K46+K57+K69+K76+K86</f>
        <v>106459.86647481279</v>
      </c>
      <c r="L14" s="68"/>
      <c r="M14" s="65" t="s">
        <v>309</v>
      </c>
    </row>
    <row r="15" spans="1:13" ht="15.75">
      <c r="A15" s="15"/>
      <c r="B15" s="15"/>
      <c r="C15" s="19"/>
      <c r="D15" s="15"/>
      <c r="E15" s="15"/>
      <c r="F15" s="15"/>
      <c r="G15" s="15"/>
      <c r="H15" s="15"/>
      <c r="I15" s="15"/>
      <c r="J15" s="15"/>
      <c r="K15" s="18"/>
      <c r="L15" s="69"/>
      <c r="M15" s="65" t="s">
        <v>310</v>
      </c>
    </row>
    <row r="16" spans="1:15" ht="15.75">
      <c r="A16" s="20" t="s">
        <v>75</v>
      </c>
      <c r="B16" s="20"/>
      <c r="C16" s="20"/>
      <c r="D16" s="20"/>
      <c r="E16" s="20"/>
      <c r="F16" s="20"/>
      <c r="G16" s="20"/>
      <c r="H16" s="20"/>
      <c r="I16" s="21"/>
      <c r="J16" s="20"/>
      <c r="K16" s="21">
        <f>H18+H19+H20+H22+H24+H25+H26+H27+H28</f>
        <v>22042.650095282643</v>
      </c>
      <c r="M16" s="65" t="s">
        <v>76</v>
      </c>
      <c r="O16" s="78">
        <f>I303</f>
        <v>2.5977777777777775</v>
      </c>
    </row>
    <row r="17" spans="1:15" ht="12.75">
      <c r="A17" s="22" t="s">
        <v>727</v>
      </c>
      <c r="B17" s="22"/>
      <c r="C17" s="22"/>
      <c r="D17" s="22"/>
      <c r="E17" s="22"/>
      <c r="F17" s="22"/>
      <c r="G17" s="22"/>
      <c r="H17" s="22"/>
      <c r="I17" s="22"/>
      <c r="J17" s="22">
        <v>2972395.8</v>
      </c>
      <c r="K17" s="23"/>
      <c r="M17" s="65" t="s">
        <v>78</v>
      </c>
      <c r="O17" s="78">
        <f>I308</f>
        <v>1.978125</v>
      </c>
    </row>
    <row r="18" spans="1:15" ht="12.75" customHeight="1">
      <c r="A18" s="113" t="s">
        <v>728</v>
      </c>
      <c r="B18" s="113"/>
      <c r="C18" s="113"/>
      <c r="D18" s="113"/>
      <c r="E18" s="113"/>
      <c r="F18" s="113"/>
      <c r="G18" s="22"/>
      <c r="H18" s="23">
        <f>O16*2600*1.75*1.07</f>
        <v>12647.281111111111</v>
      </c>
      <c r="I18" s="22"/>
      <c r="J18" s="22"/>
      <c r="K18" s="23"/>
      <c r="M18" s="65" t="s">
        <v>80</v>
      </c>
      <c r="O18" s="78">
        <f>I313</f>
        <v>0</v>
      </c>
    </row>
    <row r="19" spans="1:15" ht="12.75" hidden="1">
      <c r="A19" s="113"/>
      <c r="B19" s="113"/>
      <c r="C19" s="113"/>
      <c r="D19" s="113"/>
      <c r="E19" s="113"/>
      <c r="F19" s="113"/>
      <c r="G19" s="22"/>
      <c r="H19" s="23"/>
      <c r="I19" s="22"/>
      <c r="J19" s="22"/>
      <c r="K19" s="23"/>
      <c r="M19" s="65" t="s">
        <v>314</v>
      </c>
      <c r="O19" s="65">
        <v>4680.7</v>
      </c>
    </row>
    <row r="20" spans="1:15" ht="12.75" customHeight="1">
      <c r="A20" s="113" t="s">
        <v>729</v>
      </c>
      <c r="B20" s="113"/>
      <c r="C20" s="113"/>
      <c r="D20" s="113"/>
      <c r="E20" s="113"/>
      <c r="F20" s="113"/>
      <c r="G20" s="22"/>
      <c r="H20" s="23">
        <f>O17*2203*1.3*1.07</f>
        <v>6061.712840625</v>
      </c>
      <c r="I20" s="22"/>
      <c r="J20" s="22"/>
      <c r="K20" s="23"/>
      <c r="M20" s="65" t="s">
        <v>83</v>
      </c>
      <c r="O20" s="65">
        <v>311</v>
      </c>
    </row>
    <row r="21" spans="1:13" ht="12.75" hidden="1">
      <c r="A21" s="22"/>
      <c r="B21" s="22"/>
      <c r="C21" s="22"/>
      <c r="D21" s="22"/>
      <c r="E21" s="22"/>
      <c r="F21" s="22"/>
      <c r="G21" s="22"/>
      <c r="H21" s="23"/>
      <c r="I21" s="22"/>
      <c r="J21" s="22"/>
      <c r="M21" s="65" t="s">
        <v>316</v>
      </c>
    </row>
    <row r="22" spans="1:16" ht="12.75">
      <c r="A22" s="23">
        <f>H18+H19+H20</f>
        <v>18708.993951736113</v>
      </c>
      <c r="B22" s="22" t="s">
        <v>84</v>
      </c>
      <c r="C22" s="22"/>
      <c r="D22" s="22"/>
      <c r="E22" s="22"/>
      <c r="F22" s="22"/>
      <c r="G22" s="22"/>
      <c r="H22" s="23">
        <f>(H18+H19+H20)*14.2%</f>
        <v>2656.677141146528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O23" s="65">
        <v>2</v>
      </c>
      <c r="P23" s="65">
        <f>O23/2</f>
        <v>1</v>
      </c>
    </row>
    <row r="24" spans="1:16" ht="12.75">
      <c r="A24" s="113" t="s">
        <v>730</v>
      </c>
      <c r="B24" s="113"/>
      <c r="C24" s="113"/>
      <c r="D24" s="113"/>
      <c r="E24" s="113"/>
      <c r="F24" s="113"/>
      <c r="G24" s="22"/>
      <c r="H24" s="23">
        <f>0.057*O19</f>
        <v>266.7999</v>
      </c>
      <c r="I24" s="23"/>
      <c r="J24" s="22"/>
      <c r="K24" s="23"/>
      <c r="N24" s="65">
        <v>10</v>
      </c>
      <c r="P24" s="65">
        <f>O24/2</f>
        <v>0</v>
      </c>
    </row>
    <row r="25" spans="1:14" ht="12.75">
      <c r="A25" s="113" t="s">
        <v>731</v>
      </c>
      <c r="B25" s="113"/>
      <c r="C25" s="113"/>
      <c r="D25" s="113"/>
      <c r="E25" s="113"/>
      <c r="F25" s="113"/>
      <c r="G25" s="113"/>
      <c r="H25" s="23">
        <f>0.0085*O19</f>
        <v>39.78595</v>
      </c>
      <c r="I25" s="23"/>
      <c r="J25" s="22"/>
      <c r="K25" s="23"/>
      <c r="N25" s="65">
        <v>16</v>
      </c>
    </row>
    <row r="26" spans="1:13" ht="12.75">
      <c r="A26" s="113" t="s">
        <v>732</v>
      </c>
      <c r="B26" s="113"/>
      <c r="C26" s="113"/>
      <c r="D26" s="113"/>
      <c r="E26" s="113"/>
      <c r="F26" s="113"/>
      <c r="G26" s="113"/>
      <c r="H26" s="23">
        <f>O19*0.005</f>
        <v>23.4035</v>
      </c>
      <c r="I26" s="22"/>
      <c r="J26" s="22"/>
      <c r="K26" s="23"/>
      <c r="M26" s="65" t="s">
        <v>90</v>
      </c>
    </row>
    <row r="27" spans="1:15" ht="12.75">
      <c r="A27" s="113" t="s">
        <v>733</v>
      </c>
      <c r="B27" s="113"/>
      <c r="C27" s="113"/>
      <c r="D27" s="113"/>
      <c r="E27" s="113"/>
      <c r="F27" s="113"/>
      <c r="G27" s="113"/>
      <c r="H27" s="23">
        <f>O19*0.017</f>
        <v>79.5719</v>
      </c>
      <c r="I27" s="22"/>
      <c r="J27" s="22">
        <v>13606.82</v>
      </c>
      <c r="K27" s="23"/>
      <c r="M27" s="65" t="s">
        <v>92</v>
      </c>
      <c r="O27" s="65">
        <v>54</v>
      </c>
    </row>
    <row r="28" spans="1:15" ht="12.75">
      <c r="A28" s="113" t="s">
        <v>734</v>
      </c>
      <c r="B28" s="113"/>
      <c r="C28" s="113"/>
      <c r="D28" s="113"/>
      <c r="E28" s="113"/>
      <c r="F28" s="113"/>
      <c r="G28" s="113"/>
      <c r="H28" s="23">
        <f>0.054*O19*1.058</f>
        <v>267.4177524</v>
      </c>
      <c r="I28" s="22"/>
      <c r="J28" s="22"/>
      <c r="K28" s="23"/>
      <c r="M28" s="65" t="s">
        <v>94</v>
      </c>
      <c r="O28" s="65">
        <v>14560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H32+H33+H34+H35+H36+H37+H38+H39+H40+H41+H42+H43+H44</f>
        <v>43184.299217777785</v>
      </c>
      <c r="M30" s="65" t="s">
        <v>96</v>
      </c>
      <c r="O30" s="69">
        <f>K291</f>
        <v>2.394386368737201</v>
      </c>
    </row>
    <row r="31" spans="1:11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</row>
    <row r="32" spans="1:11" ht="12.75">
      <c r="A32" s="113" t="s">
        <v>735</v>
      </c>
      <c r="B32" s="113"/>
      <c r="C32" s="113"/>
      <c r="D32" s="113"/>
      <c r="E32" s="113"/>
      <c r="F32" s="113"/>
      <c r="G32" s="113"/>
      <c r="H32" s="28">
        <f>(O20*1.5)/12*90.3*1.058</f>
        <v>3714.0164250000003</v>
      </c>
      <c r="I32" s="22"/>
      <c r="J32" s="22"/>
      <c r="K32" s="29"/>
    </row>
    <row r="33" spans="1:12" ht="12.75">
      <c r="A33" s="113" t="s">
        <v>736</v>
      </c>
      <c r="B33" s="113"/>
      <c r="C33" s="113"/>
      <c r="D33" s="113"/>
      <c r="E33" s="113"/>
      <c r="F33" s="113"/>
      <c r="G33" s="113"/>
      <c r="H33" s="28">
        <f>O20*1.5*33.1/12*1.058</f>
        <v>1361.394725</v>
      </c>
      <c r="I33" s="22"/>
      <c r="J33" s="22"/>
      <c r="K33" s="29"/>
      <c r="L33" s="65">
        <f>1.16*O19</f>
        <v>5429.611999999999</v>
      </c>
    </row>
    <row r="34" spans="1:11" ht="12.75">
      <c r="A34" s="113" t="s">
        <v>737</v>
      </c>
      <c r="B34" s="113"/>
      <c r="C34" s="113"/>
      <c r="D34" s="113"/>
      <c r="E34" s="113"/>
      <c r="F34" s="113"/>
      <c r="G34" s="113"/>
      <c r="H34" s="28">
        <f>O28*2.48</f>
        <v>36108.8</v>
      </c>
      <c r="I34" s="22"/>
      <c r="J34" s="22"/>
      <c r="K34" s="29"/>
    </row>
    <row r="35" spans="1:11" ht="12.75">
      <c r="A35" s="113" t="s">
        <v>738</v>
      </c>
      <c r="B35" s="113"/>
      <c r="C35" s="113"/>
      <c r="D35" s="113"/>
      <c r="E35" s="113"/>
      <c r="F35" s="113"/>
      <c r="G35" s="113"/>
      <c r="H35" s="28">
        <f>O19*0.028</f>
        <v>131.0596</v>
      </c>
      <c r="I35" s="22"/>
      <c r="J35" s="22"/>
      <c r="K35" s="29"/>
    </row>
    <row r="36" spans="1:11" ht="12.75">
      <c r="A36" s="113" t="s">
        <v>739</v>
      </c>
      <c r="B36" s="113"/>
      <c r="C36" s="113"/>
      <c r="D36" s="113"/>
      <c r="E36" s="113"/>
      <c r="F36" s="113"/>
      <c r="G36" s="113"/>
      <c r="H36" s="28">
        <f>O19*0.0027</f>
        <v>12.63789</v>
      </c>
      <c r="I36" s="22"/>
      <c r="J36" s="22"/>
      <c r="K36" s="29"/>
    </row>
    <row r="37" spans="1:11" ht="12.75">
      <c r="A37" s="113" t="s">
        <v>740</v>
      </c>
      <c r="B37" s="113"/>
      <c r="C37" s="113"/>
      <c r="D37" s="113"/>
      <c r="E37" s="24"/>
      <c r="F37" s="24"/>
      <c r="G37" s="24"/>
      <c r="H37" s="28">
        <f>O19*0.216</f>
        <v>1011.0311999999999</v>
      </c>
      <c r="I37" s="22"/>
      <c r="J37" s="22"/>
      <c r="K37" s="29"/>
    </row>
    <row r="38" spans="1:11" ht="12.75">
      <c r="A38" s="113" t="s">
        <v>292</v>
      </c>
      <c r="B38" s="113"/>
      <c r="C38" s="113"/>
      <c r="D38" s="113"/>
      <c r="E38" s="113"/>
      <c r="F38" s="113"/>
      <c r="G38" s="113"/>
      <c r="H38" s="28">
        <f>O27*4.81/12</f>
        <v>21.644999999999996</v>
      </c>
      <c r="I38" s="22"/>
      <c r="J38" s="22"/>
      <c r="K38" s="29"/>
    </row>
    <row r="39" spans="1:11" ht="12.75">
      <c r="A39" s="113" t="s">
        <v>741</v>
      </c>
      <c r="B39" s="113"/>
      <c r="C39" s="113"/>
      <c r="D39" s="113"/>
      <c r="E39" s="113"/>
      <c r="F39" s="113"/>
      <c r="G39" s="113"/>
      <c r="H39" s="28">
        <f>80*80/12/3</f>
        <v>177.7777777777778</v>
      </c>
      <c r="I39" s="22"/>
      <c r="J39" s="22"/>
      <c r="K39" s="29"/>
    </row>
    <row r="40" spans="1:11" ht="12.75">
      <c r="A40" s="113" t="s">
        <v>742</v>
      </c>
      <c r="B40" s="113"/>
      <c r="C40" s="113"/>
      <c r="D40" s="113"/>
      <c r="E40" s="113"/>
      <c r="F40" s="113"/>
      <c r="G40" s="113"/>
      <c r="H40" s="28">
        <f>O19*0.027</f>
        <v>126.37889999999999</v>
      </c>
      <c r="I40" s="22"/>
      <c r="J40" s="32"/>
      <c r="K40" s="29"/>
    </row>
    <row r="41" spans="1:11" ht="12.75">
      <c r="A41" s="113" t="s">
        <v>743</v>
      </c>
      <c r="B41" s="113"/>
      <c r="C41" s="113"/>
      <c r="D41" s="113"/>
      <c r="E41" s="113"/>
      <c r="F41" s="113"/>
      <c r="G41" s="113"/>
      <c r="H41" s="28">
        <f>O19*0.022</f>
        <v>102.9754</v>
      </c>
      <c r="I41" s="22"/>
      <c r="J41" s="22"/>
      <c r="K41" s="29"/>
    </row>
    <row r="42" spans="1:11" ht="12.75">
      <c r="A42" s="113" t="s">
        <v>744</v>
      </c>
      <c r="B42" s="113"/>
      <c r="C42" s="113"/>
      <c r="D42" s="113"/>
      <c r="E42" s="113"/>
      <c r="F42" s="113"/>
      <c r="G42" s="113"/>
      <c r="H42" s="28">
        <f>O19*0.022</f>
        <v>102.9754</v>
      </c>
      <c r="I42" s="22"/>
      <c r="J42" s="22"/>
      <c r="K42" s="29"/>
    </row>
    <row r="43" spans="1:11" ht="12.75">
      <c r="A43" s="113" t="s">
        <v>745</v>
      </c>
      <c r="B43" s="113"/>
      <c r="C43" s="113"/>
      <c r="D43" s="113"/>
      <c r="E43" s="113"/>
      <c r="F43" s="113"/>
      <c r="G43" s="24"/>
      <c r="H43" s="28">
        <f>O19*0.053</f>
        <v>248.07709999999997</v>
      </c>
      <c r="I43" s="22"/>
      <c r="J43" s="22"/>
      <c r="K43" s="29"/>
    </row>
    <row r="44" spans="1:11" ht="12.75">
      <c r="A44" s="113" t="s">
        <v>746</v>
      </c>
      <c r="B44" s="113"/>
      <c r="C44" s="113"/>
      <c r="D44" s="113"/>
      <c r="E44" s="113"/>
      <c r="F44" s="113"/>
      <c r="G44" s="24"/>
      <c r="H44" s="28">
        <f>O19*0.014</f>
        <v>65.5298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1" ht="15.75">
      <c r="A46" s="86" t="s">
        <v>148</v>
      </c>
      <c r="B46" s="86"/>
      <c r="C46" s="86"/>
      <c r="D46" s="86"/>
      <c r="E46" s="86"/>
      <c r="F46" s="86"/>
      <c r="G46" s="86"/>
      <c r="H46" s="87"/>
      <c r="I46" s="88"/>
      <c r="J46" s="88">
        <v>9460.05</v>
      </c>
      <c r="K46" s="89">
        <f>H48+H49+H50+H51+H52</f>
        <v>9946.786254901961</v>
      </c>
    </row>
    <row r="47" spans="1:11" ht="12.75">
      <c r="A47" s="24"/>
      <c r="B47" s="24" t="s">
        <v>64</v>
      </c>
      <c r="C47" s="24"/>
      <c r="D47" s="24"/>
      <c r="E47" s="24"/>
      <c r="F47" s="24"/>
      <c r="G47" s="24"/>
      <c r="H47" s="28"/>
      <c r="I47" s="22"/>
      <c r="J47" s="22"/>
      <c r="K47" s="29"/>
    </row>
    <row r="48" spans="1:13" ht="12.75">
      <c r="A48" s="113" t="s">
        <v>747</v>
      </c>
      <c r="B48" s="113"/>
      <c r="C48" s="113"/>
      <c r="D48" s="113"/>
      <c r="E48" s="113"/>
      <c r="F48" s="113"/>
      <c r="G48" s="24"/>
      <c r="H48" s="28">
        <f>O19*2.07</f>
        <v>9689.048999999999</v>
      </c>
      <c r="I48" s="22"/>
      <c r="J48" s="22"/>
      <c r="K48" s="29"/>
      <c r="M48" s="65">
        <v>18024</v>
      </c>
    </row>
    <row r="49" spans="1:11" ht="12.75">
      <c r="A49" s="113" t="s">
        <v>748</v>
      </c>
      <c r="B49" s="113"/>
      <c r="C49" s="113"/>
      <c r="D49" s="113"/>
      <c r="E49" s="113"/>
      <c r="F49" s="113"/>
      <c r="G49" s="24"/>
      <c r="H49" s="28">
        <f>1380*1/12</f>
        <v>115</v>
      </c>
      <c r="I49" s="22"/>
      <c r="J49" s="22"/>
      <c r="K49" s="29"/>
    </row>
    <row r="50" spans="1:11" ht="12.75">
      <c r="A50" s="113" t="s">
        <v>749</v>
      </c>
      <c r="B50" s="113"/>
      <c r="C50" s="113"/>
      <c r="D50" s="113"/>
      <c r="E50" s="113"/>
      <c r="F50" s="113"/>
      <c r="G50" s="113"/>
      <c r="H50" s="28">
        <f>1567*1/12</f>
        <v>130.58333333333334</v>
      </c>
      <c r="I50" s="22"/>
      <c r="J50" s="22"/>
      <c r="K50" s="29"/>
    </row>
    <row r="51" spans="1:11" ht="12.75">
      <c r="A51" s="113" t="s">
        <v>750</v>
      </c>
      <c r="B51" s="113"/>
      <c r="C51" s="113"/>
      <c r="D51" s="113"/>
      <c r="E51" s="113"/>
      <c r="F51" s="113"/>
      <c r="G51" s="113"/>
      <c r="H51" s="28">
        <f>56.4/2/12</f>
        <v>2.35</v>
      </c>
      <c r="I51" s="22"/>
      <c r="J51" s="22"/>
      <c r="K51" s="29"/>
    </row>
    <row r="52" spans="1:11" ht="12.75">
      <c r="A52" s="24" t="s">
        <v>340</v>
      </c>
      <c r="B52" s="24"/>
      <c r="C52" s="24"/>
      <c r="D52" s="24"/>
      <c r="E52" s="24"/>
      <c r="F52" s="24"/>
      <c r="G52" s="24"/>
      <c r="H52" s="28">
        <f>10000/85/12</f>
        <v>9.80392156862745</v>
      </c>
      <c r="I52" s="22"/>
      <c r="J52" s="22"/>
      <c r="K52" s="29"/>
    </row>
    <row r="53" spans="1:11" ht="12.75">
      <c r="A53" s="24"/>
      <c r="B53" s="24"/>
      <c r="C53" s="24"/>
      <c r="D53" s="24"/>
      <c r="E53" s="24"/>
      <c r="F53" s="24"/>
      <c r="G53" s="24"/>
      <c r="H53" s="28"/>
      <c r="I53" s="22"/>
      <c r="J53" s="22"/>
      <c r="K53" s="29"/>
    </row>
    <row r="54" spans="1:11" ht="12.75">
      <c r="A54" s="24"/>
      <c r="B54" s="24"/>
      <c r="C54" s="24"/>
      <c r="D54" s="24"/>
      <c r="E54" s="24"/>
      <c r="F54" s="24"/>
      <c r="G54" s="24"/>
      <c r="H54" s="28"/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1" ht="12.75">
      <c r="A56" s="24"/>
      <c r="B56" s="24"/>
      <c r="C56" s="24"/>
      <c r="D56" s="24"/>
      <c r="E56" s="24"/>
      <c r="F56" s="24"/>
      <c r="G56" s="24"/>
      <c r="H56" s="28"/>
      <c r="I56" s="22"/>
      <c r="J56" s="22"/>
      <c r="K56" s="29"/>
    </row>
    <row r="57" spans="1:13" ht="15.75">
      <c r="A57" s="20" t="s">
        <v>111</v>
      </c>
      <c r="B57" s="20"/>
      <c r="C57" s="20"/>
      <c r="D57" s="20"/>
      <c r="E57" s="20"/>
      <c r="F57" s="20"/>
      <c r="G57" s="20"/>
      <c r="H57" s="27"/>
      <c r="I57" s="20"/>
      <c r="J57" s="20"/>
      <c r="K57" s="21">
        <f>H60+H62+H63+H64+H65+H66+H67</f>
        <v>22985.37752685041</v>
      </c>
      <c r="M57" s="71">
        <f>K57/309084*O19</f>
        <v>348.08549323138277</v>
      </c>
    </row>
    <row r="58" spans="1:11" ht="12.75">
      <c r="A58" s="22"/>
      <c r="B58" s="22" t="s">
        <v>64</v>
      </c>
      <c r="C58" s="22"/>
      <c r="D58" s="22"/>
      <c r="E58" s="22"/>
      <c r="F58" s="22"/>
      <c r="G58" s="22"/>
      <c r="H58" s="28"/>
      <c r="I58" s="22"/>
      <c r="J58" s="22"/>
      <c r="K58" s="29"/>
    </row>
    <row r="59" spans="1:11" ht="12.75">
      <c r="A59" s="33" t="s">
        <v>112</v>
      </c>
      <c r="B59" s="33"/>
      <c r="C59" s="33"/>
      <c r="D59" s="33"/>
      <c r="E59" s="33"/>
      <c r="F59" s="33"/>
      <c r="G59" s="33"/>
      <c r="H59" s="34"/>
      <c r="I59" s="33"/>
      <c r="J59" s="33"/>
      <c r="K59" s="35"/>
    </row>
    <row r="60" spans="1:13" ht="12.75">
      <c r="A60" s="111" t="s">
        <v>751</v>
      </c>
      <c r="B60" s="111"/>
      <c r="C60" s="111"/>
      <c r="D60" s="111"/>
      <c r="E60" s="111"/>
      <c r="F60" s="111"/>
      <c r="G60" s="36"/>
      <c r="H60" s="37">
        <f>K291*24.48*165.1*1.5*1.07</f>
        <v>15532.013339886526</v>
      </c>
      <c r="I60" s="38"/>
      <c r="J60" s="38"/>
      <c r="K60" s="35"/>
      <c r="M60" s="69">
        <f>K291</f>
        <v>2.394386368737201</v>
      </c>
    </row>
    <row r="61" spans="1:11" ht="12.75">
      <c r="A61" s="33" t="s">
        <v>114</v>
      </c>
      <c r="B61" s="33"/>
      <c r="C61" s="33"/>
      <c r="D61" s="33"/>
      <c r="E61" s="33"/>
      <c r="F61" s="33"/>
      <c r="G61" s="33"/>
      <c r="H61" s="34"/>
      <c r="I61" s="33"/>
      <c r="J61" s="33"/>
      <c r="K61" s="35"/>
    </row>
    <row r="62" spans="1:11" ht="12.75">
      <c r="A62" s="39">
        <f>H60</f>
        <v>15532.013339886526</v>
      </c>
      <c r="B62" s="36" t="s">
        <v>115</v>
      </c>
      <c r="C62" s="36"/>
      <c r="D62" s="36"/>
      <c r="E62" s="36"/>
      <c r="F62" s="36"/>
      <c r="G62" s="38"/>
      <c r="H62" s="37">
        <f>H60*14.2%</f>
        <v>2205.5458942638866</v>
      </c>
      <c r="I62" s="38"/>
      <c r="J62" s="38"/>
      <c r="K62" s="35"/>
    </row>
    <row r="63" spans="1:11" ht="12.75">
      <c r="A63" s="30" t="s">
        <v>752</v>
      </c>
      <c r="B63" s="30"/>
      <c r="C63" s="30"/>
      <c r="D63" s="30"/>
      <c r="E63" s="30"/>
      <c r="F63" s="40"/>
      <c r="G63" s="40"/>
      <c r="H63" s="37">
        <f>0.04*O19</f>
        <v>187.228</v>
      </c>
      <c r="I63" s="38"/>
      <c r="J63" s="38"/>
      <c r="K63" s="35"/>
    </row>
    <row r="64" spans="1:11" ht="12.75">
      <c r="A64" s="108" t="s">
        <v>753</v>
      </c>
      <c r="B64" s="108"/>
      <c r="C64" s="108"/>
      <c r="D64" s="108"/>
      <c r="E64" s="108"/>
      <c r="F64" s="108"/>
      <c r="G64" s="108"/>
      <c r="H64" s="37">
        <f>0.97*O19</f>
        <v>4540.2789999999995</v>
      </c>
      <c r="I64" s="38"/>
      <c r="J64" s="38"/>
      <c r="K64" s="35"/>
    </row>
    <row r="65" spans="1:11" ht="12.75">
      <c r="A65" s="108" t="s">
        <v>754</v>
      </c>
      <c r="B65" s="108"/>
      <c r="C65" s="108"/>
      <c r="D65" s="108"/>
      <c r="E65" s="108"/>
      <c r="F65" s="30"/>
      <c r="G65" s="30"/>
      <c r="H65" s="37">
        <f>0.0037*O19</f>
        <v>17.31859</v>
      </c>
      <c r="I65" s="38"/>
      <c r="J65" s="38"/>
      <c r="K65" s="35"/>
    </row>
    <row r="66" spans="1:12" ht="12.75">
      <c r="A66" s="108" t="s">
        <v>755</v>
      </c>
      <c r="B66" s="108"/>
      <c r="C66" s="108"/>
      <c r="D66" s="108"/>
      <c r="E66" s="108"/>
      <c r="F66" s="108"/>
      <c r="G66" s="108"/>
      <c r="H66" s="37">
        <f>O19*0.082</f>
        <v>383.8174</v>
      </c>
      <c r="I66" s="38"/>
      <c r="J66" s="38"/>
      <c r="K66" s="35"/>
      <c r="L66" s="69"/>
    </row>
    <row r="67" spans="1:13" ht="12.75">
      <c r="A67" s="108" t="s">
        <v>756</v>
      </c>
      <c r="B67" s="108"/>
      <c r="C67" s="108"/>
      <c r="D67" s="108"/>
      <c r="E67" s="108"/>
      <c r="F67" s="108"/>
      <c r="G67" s="108"/>
      <c r="H67" s="31">
        <f>O19*0.023*1.107</f>
        <v>119.17530269999999</v>
      </c>
      <c r="I67" s="33"/>
      <c r="J67" s="33"/>
      <c r="K67" s="35"/>
      <c r="M67" s="65">
        <f>36646.37/309083*O19</f>
        <v>554.9663490356959</v>
      </c>
    </row>
    <row r="68" spans="1:11" ht="12.75">
      <c r="A68" s="30"/>
      <c r="B68" s="30"/>
      <c r="C68" s="30"/>
      <c r="D68" s="30"/>
      <c r="E68" s="30"/>
      <c r="F68" s="30"/>
      <c r="G68" s="30"/>
      <c r="H68" s="31"/>
      <c r="I68" s="33"/>
      <c r="J68" s="33"/>
      <c r="K68" s="35"/>
    </row>
    <row r="69" spans="1:13" ht="15.75">
      <c r="A69" s="110" t="s">
        <v>121</v>
      </c>
      <c r="B69" s="110"/>
      <c r="C69" s="110"/>
      <c r="D69" s="110"/>
      <c r="E69" s="42"/>
      <c r="F69" s="42"/>
      <c r="G69" s="20"/>
      <c r="H69" s="27"/>
      <c r="I69" s="20"/>
      <c r="J69" s="20"/>
      <c r="K69" s="21">
        <f>H71+H72+H73+H74</f>
        <v>3804.9410299999995</v>
      </c>
      <c r="M69" s="72">
        <f>51932.37/301083*O19</f>
        <v>807.3516082243102</v>
      </c>
    </row>
    <row r="70" spans="1:11" ht="12.75">
      <c r="A70" s="111" t="s">
        <v>122</v>
      </c>
      <c r="B70" s="111"/>
      <c r="C70" s="111"/>
      <c r="D70" s="111"/>
      <c r="E70" s="111"/>
      <c r="F70" s="111"/>
      <c r="G70" s="36"/>
      <c r="H70" s="37"/>
      <c r="I70" s="36"/>
      <c r="J70" s="36"/>
      <c r="K70" s="35"/>
    </row>
    <row r="71" spans="1:11" ht="12.75">
      <c r="A71" s="36" t="s">
        <v>757</v>
      </c>
      <c r="B71" s="36"/>
      <c r="C71" s="36"/>
      <c r="D71" s="36"/>
      <c r="E71" s="36"/>
      <c r="F71" s="36"/>
      <c r="G71" s="36"/>
      <c r="H71" s="37">
        <f>0.2227*O19</f>
        <v>1042.39189</v>
      </c>
      <c r="I71" s="36"/>
      <c r="J71" s="36"/>
      <c r="K71" s="35"/>
    </row>
    <row r="72" spans="1:11" ht="12.75">
      <c r="A72" s="30" t="s">
        <v>758</v>
      </c>
      <c r="B72" s="43"/>
      <c r="C72" s="30"/>
      <c r="D72" s="30"/>
      <c r="E72" s="44"/>
      <c r="F72" s="38"/>
      <c r="G72" s="38"/>
      <c r="H72" s="37">
        <f>0.0257*O19</f>
        <v>120.29399</v>
      </c>
      <c r="I72" s="38"/>
      <c r="J72" s="38"/>
      <c r="K72" s="35"/>
    </row>
    <row r="73" spans="1:11" ht="12.75">
      <c r="A73" s="111" t="s">
        <v>759</v>
      </c>
      <c r="B73" s="111"/>
      <c r="C73" s="111"/>
      <c r="D73" s="111"/>
      <c r="E73" s="111"/>
      <c r="F73" s="38"/>
      <c r="G73" s="38"/>
      <c r="H73" s="37">
        <f>0.0945*O19</f>
        <v>442.32615</v>
      </c>
      <c r="I73" s="38"/>
      <c r="J73" s="38"/>
      <c r="K73" s="35"/>
    </row>
    <row r="74" spans="1:11" ht="12.75">
      <c r="A74" s="36" t="s">
        <v>760</v>
      </c>
      <c r="B74" s="36"/>
      <c r="C74" s="36"/>
      <c r="D74" s="36"/>
      <c r="E74" s="36"/>
      <c r="F74" s="38"/>
      <c r="G74" s="38"/>
      <c r="H74" s="37">
        <f>0.47*O19</f>
        <v>2199.9289999999996</v>
      </c>
      <c r="I74" s="38"/>
      <c r="J74" s="38"/>
      <c r="K74" s="45"/>
    </row>
    <row r="75" spans="1:11" ht="12.75">
      <c r="A75" s="30"/>
      <c r="B75" s="30"/>
      <c r="C75" s="30"/>
      <c r="D75" s="30"/>
      <c r="E75" s="30"/>
      <c r="F75" s="30"/>
      <c r="G75" s="30"/>
      <c r="H75" s="37"/>
      <c r="I75" s="38"/>
      <c r="J75" s="38"/>
      <c r="K75" s="35"/>
    </row>
    <row r="76" spans="1:13" ht="15.75">
      <c r="A76" s="26" t="s">
        <v>127</v>
      </c>
      <c r="B76" s="26"/>
      <c r="C76" s="26"/>
      <c r="D76" s="26"/>
      <c r="E76" s="26"/>
      <c r="F76" s="26"/>
      <c r="G76" s="26"/>
      <c r="H76" s="46"/>
      <c r="I76" s="20"/>
      <c r="J76" s="20"/>
      <c r="K76" s="21">
        <f>O19*0.94</f>
        <v>4399.857999999999</v>
      </c>
      <c r="M76" s="71">
        <f>231179.9/309083*O19</f>
        <v>3500.9487999339976</v>
      </c>
    </row>
    <row r="77" spans="1:11" ht="15.75">
      <c r="A77" s="47"/>
      <c r="B77" s="47"/>
      <c r="C77" s="112" t="s">
        <v>64</v>
      </c>
      <c r="D77" s="112"/>
      <c r="E77" s="47"/>
      <c r="F77" s="47"/>
      <c r="G77" s="47"/>
      <c r="H77" s="48"/>
      <c r="I77" s="47"/>
      <c r="J77" s="47"/>
      <c r="K77" s="49"/>
    </row>
    <row r="78" spans="1:11" ht="12.75">
      <c r="A78" s="30" t="s">
        <v>128</v>
      </c>
      <c r="B78" s="30"/>
      <c r="C78" s="30"/>
      <c r="D78" s="30"/>
      <c r="E78" s="30"/>
      <c r="F78" s="30"/>
      <c r="G78" s="30"/>
      <c r="H78" s="37"/>
      <c r="I78" s="38"/>
      <c r="J78" s="38"/>
      <c r="K78" s="35"/>
    </row>
    <row r="79" spans="1:11" ht="12.75">
      <c r="A79" s="30" t="s">
        <v>129</v>
      </c>
      <c r="B79" s="43"/>
      <c r="C79" s="30"/>
      <c r="D79" s="30"/>
      <c r="E79" s="30"/>
      <c r="F79" s="44"/>
      <c r="G79" s="44"/>
      <c r="H79" s="37"/>
      <c r="I79" s="38"/>
      <c r="J79" s="38"/>
      <c r="K79" s="35"/>
    </row>
    <row r="80" spans="1:11" ht="12.75">
      <c r="A80" s="108" t="s">
        <v>130</v>
      </c>
      <c r="B80" s="108"/>
      <c r="C80" s="108"/>
      <c r="D80" s="108"/>
      <c r="E80" s="108"/>
      <c r="F80" s="108"/>
      <c r="G80" s="44"/>
      <c r="H80" s="37"/>
      <c r="I80" s="38"/>
      <c r="J80" s="38"/>
      <c r="K80" s="35"/>
    </row>
    <row r="81" spans="1:11" ht="12.75">
      <c r="A81" s="108" t="s">
        <v>131</v>
      </c>
      <c r="B81" s="108"/>
      <c r="C81" s="108"/>
      <c r="D81" s="108"/>
      <c r="E81" s="108"/>
      <c r="F81" s="108"/>
      <c r="G81" s="108"/>
      <c r="H81" s="37"/>
      <c r="I81" s="38"/>
      <c r="J81" s="38"/>
      <c r="K81" s="35"/>
    </row>
    <row r="82" spans="1:11" ht="12.75">
      <c r="A82" s="108" t="s">
        <v>132</v>
      </c>
      <c r="B82" s="108"/>
      <c r="C82" s="108"/>
      <c r="D82" s="108"/>
      <c r="E82" s="109"/>
      <c r="F82" s="109"/>
      <c r="G82" s="109"/>
      <c r="H82" s="37"/>
      <c r="I82" s="38"/>
      <c r="J82" s="38"/>
      <c r="K82" s="35"/>
    </row>
    <row r="83" spans="1:11" ht="12.75">
      <c r="A83" s="108" t="s">
        <v>133</v>
      </c>
      <c r="B83" s="108"/>
      <c r="C83" s="108"/>
      <c r="D83" s="108"/>
      <c r="E83" s="108"/>
      <c r="F83" s="44"/>
      <c r="G83" s="44"/>
      <c r="H83" s="37"/>
      <c r="I83" s="38"/>
      <c r="J83" s="38"/>
      <c r="K83" s="35"/>
    </row>
    <row r="84" spans="1:14" ht="12.75">
      <c r="A84" s="44" t="s">
        <v>134</v>
      </c>
      <c r="B84" s="44"/>
      <c r="C84" s="44"/>
      <c r="D84" s="44"/>
      <c r="E84" s="44"/>
      <c r="F84" s="44"/>
      <c r="G84" s="44"/>
      <c r="H84" s="37"/>
      <c r="I84" s="38"/>
      <c r="J84" s="38"/>
      <c r="K84" s="35"/>
      <c r="N84" s="69">
        <f>K16+K30+K46+K57+K69+K76</f>
        <v>106363.91212481279</v>
      </c>
    </row>
    <row r="85" spans="1:14" ht="12.75">
      <c r="A85" s="22"/>
      <c r="B85" s="22"/>
      <c r="C85" s="22"/>
      <c r="D85" s="22"/>
      <c r="E85" s="22"/>
      <c r="F85" s="22"/>
      <c r="G85" s="22"/>
      <c r="H85" s="28"/>
      <c r="I85" s="22"/>
      <c r="J85" s="22"/>
      <c r="K85" s="29"/>
      <c r="N85" s="65" t="e">
        <f>#REF!*97%</f>
        <v>#REF!</v>
      </c>
    </row>
    <row r="86" spans="1:14" ht="15.75">
      <c r="A86" s="20" t="s">
        <v>135</v>
      </c>
      <c r="B86" s="20"/>
      <c r="C86" s="20"/>
      <c r="D86" s="20"/>
      <c r="E86" s="20"/>
      <c r="F86" s="51"/>
      <c r="G86" s="51"/>
      <c r="H86" s="52"/>
      <c r="I86" s="51"/>
      <c r="J86" s="51"/>
      <c r="K86" s="21">
        <f>0.0205*O19</f>
        <v>95.95435</v>
      </c>
      <c r="L86" s="72" t="e">
        <f>#REF!-(K16+K30+K46+K57+K69+#REF!+#REF!+K76)</f>
        <v>#REF!</v>
      </c>
      <c r="M86" s="72"/>
      <c r="N86" s="65" t="e">
        <f>(N85-N84)*0.15</f>
        <v>#REF!</v>
      </c>
    </row>
    <row r="87" spans="1:13" ht="15.75">
      <c r="A87" s="54"/>
      <c r="B87" s="54"/>
      <c r="C87" s="54"/>
      <c r="D87" s="54"/>
      <c r="E87" s="54"/>
      <c r="F87" s="53"/>
      <c r="G87" s="53"/>
      <c r="H87" s="55"/>
      <c r="I87" s="53"/>
      <c r="J87" s="53"/>
      <c r="K87" s="56"/>
      <c r="L87" s="72"/>
      <c r="M87" s="72"/>
    </row>
    <row r="88" spans="1:11" ht="15.75">
      <c r="A88" s="57" t="s">
        <v>537</v>
      </c>
      <c r="B88" s="57"/>
      <c r="C88" s="57"/>
      <c r="D88" s="58"/>
      <c r="E88" s="58"/>
      <c r="F88" s="58"/>
      <c r="G88" s="58"/>
      <c r="H88" s="59"/>
      <c r="I88" s="58"/>
      <c r="J88" s="58"/>
      <c r="K88" s="60">
        <f>K14*6%</f>
        <v>6387.591988488767</v>
      </c>
    </row>
    <row r="89" spans="1:11" ht="15.75">
      <c r="A89" s="57"/>
      <c r="B89" s="57"/>
      <c r="C89" s="57"/>
      <c r="D89" s="58"/>
      <c r="E89" s="58"/>
      <c r="F89" s="58"/>
      <c r="G89" s="58"/>
      <c r="H89" s="59"/>
      <c r="I89" s="58"/>
      <c r="J89" s="58"/>
      <c r="K89" s="60"/>
    </row>
    <row r="90" spans="1:11" ht="15.75">
      <c r="A90" s="63" t="s">
        <v>137</v>
      </c>
      <c r="B90" s="63"/>
      <c r="C90" s="63"/>
      <c r="D90" s="63"/>
      <c r="E90" s="63"/>
      <c r="F90" s="63"/>
      <c r="G90" s="63"/>
      <c r="H90" s="63"/>
      <c r="I90" s="63"/>
      <c r="J90" s="63"/>
      <c r="K90" s="64">
        <f>K88+K14</f>
        <v>112847.45846330156</v>
      </c>
    </row>
    <row r="91" spans="1:11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4"/>
    </row>
    <row r="92" spans="1:11" ht="15.75">
      <c r="A92" s="63" t="s">
        <v>138</v>
      </c>
      <c r="B92" s="63"/>
      <c r="C92" s="63"/>
      <c r="D92" s="63"/>
      <c r="E92" s="63"/>
      <c r="F92" s="63"/>
      <c r="G92" s="63"/>
      <c r="H92" s="63"/>
      <c r="I92" s="63"/>
      <c r="J92" s="63"/>
      <c r="K92" s="64">
        <f>K90/O19</f>
        <v>24.1090987380737</v>
      </c>
    </row>
    <row r="93" spans="1:11" ht="15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4"/>
    </row>
    <row r="94" spans="1:11" ht="15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ht="15.75" customHeight="1"/>
    <row r="96" spans="1:11" ht="15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t="15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4"/>
    </row>
    <row r="98" ht="15.75" customHeight="1"/>
    <row r="99" ht="15.75" customHeight="1"/>
    <row r="103" spans="3:9" s="65" customFormat="1" ht="15.75">
      <c r="C103" s="106" t="s">
        <v>139</v>
      </c>
      <c r="D103" s="107"/>
      <c r="E103" s="107"/>
      <c r="F103" s="107"/>
      <c r="G103" s="107"/>
      <c r="H103" s="107"/>
      <c r="I103" s="107"/>
    </row>
    <row r="104" spans="3:9" s="65" customFormat="1" ht="15.75">
      <c r="C104" s="74" t="s">
        <v>140</v>
      </c>
      <c r="D104" s="74" t="s">
        <v>141</v>
      </c>
      <c r="E104" s="74"/>
      <c r="F104" s="74"/>
      <c r="G104" s="75"/>
      <c r="H104" s="75"/>
      <c r="I104" s="75"/>
    </row>
    <row r="105" s="65" customFormat="1" ht="12.75"/>
    <row r="106" s="65" customFormat="1" ht="12.75">
      <c r="E106" s="65" t="s">
        <v>142</v>
      </c>
    </row>
    <row r="107" spans="5:8" s="65" customFormat="1" ht="12.75">
      <c r="E107" s="65" t="s">
        <v>143</v>
      </c>
      <c r="H107" s="65">
        <v>1200</v>
      </c>
    </row>
    <row r="108" spans="5:8" s="65" customFormat="1" ht="12.75">
      <c r="E108" s="65" t="s">
        <v>144</v>
      </c>
      <c r="H108" s="65">
        <v>1324</v>
      </c>
    </row>
    <row r="109" spans="5:8" s="65" customFormat="1" ht="12.75">
      <c r="E109" s="65" t="s">
        <v>145</v>
      </c>
      <c r="H109" s="65">
        <v>332</v>
      </c>
    </row>
    <row r="110" spans="5:8" s="65" customFormat="1" ht="12.75">
      <c r="E110" s="65" t="s">
        <v>146</v>
      </c>
      <c r="H110" s="65">
        <v>5351.8</v>
      </c>
    </row>
    <row r="111" s="65" customFormat="1" ht="12.75"/>
    <row r="112" spans="1:11" s="65" customFormat="1" ht="15.75">
      <c r="A112" s="105" t="s">
        <v>72</v>
      </c>
      <c r="B112" s="105"/>
      <c r="C112" s="105"/>
      <c r="D112" s="105"/>
      <c r="E112" s="105"/>
      <c r="F112" s="105"/>
      <c r="G112" s="105"/>
      <c r="H112" s="76" t="e">
        <f>H114+H116+H118+H120+H122+H124+H126</f>
        <v>#REF!</v>
      </c>
      <c r="I112" s="77" t="s">
        <v>70</v>
      </c>
      <c r="K112" s="78" t="e">
        <f>H112-20000</f>
        <v>#REF!</v>
      </c>
    </row>
    <row r="113" spans="1:7" s="65" customFormat="1" ht="12.75">
      <c r="A113" s="79"/>
      <c r="B113" s="79"/>
      <c r="C113" s="79"/>
      <c r="D113" s="79"/>
      <c r="E113" s="79"/>
      <c r="F113" s="79"/>
      <c r="G113" s="79"/>
    </row>
    <row r="114" spans="1:8" s="65" customFormat="1" ht="15.75">
      <c r="A114" s="80" t="s">
        <v>147</v>
      </c>
      <c r="B114" s="80"/>
      <c r="C114" s="80"/>
      <c r="D114" s="80"/>
      <c r="E114" s="80"/>
      <c r="F114" s="80"/>
      <c r="G114" s="80"/>
      <c r="H114" s="78">
        <f>K16</f>
        <v>22042.650095282643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78"/>
    </row>
    <row r="116" spans="1:8" s="65" customFormat="1" ht="15.75">
      <c r="A116" s="105" t="s">
        <v>95</v>
      </c>
      <c r="B116" s="105"/>
      <c r="C116" s="105"/>
      <c r="D116" s="105"/>
      <c r="E116" s="105"/>
      <c r="F116" s="80"/>
      <c r="G116" s="80"/>
      <c r="H116" s="78">
        <f>K30</f>
        <v>43184.299217777785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78"/>
    </row>
    <row r="118" spans="1:8" s="65" customFormat="1" ht="15.75">
      <c r="A118" s="105" t="s">
        <v>148</v>
      </c>
      <c r="B118" s="105"/>
      <c r="C118" s="105"/>
      <c r="D118" s="105"/>
      <c r="E118" s="105"/>
      <c r="F118" s="105"/>
      <c r="G118" s="105"/>
      <c r="H118" s="81" t="e">
        <f>#REF!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80" t="s">
        <v>111</v>
      </c>
      <c r="B120" s="80"/>
      <c r="C120" s="80"/>
      <c r="D120" s="80"/>
      <c r="E120" s="80"/>
      <c r="F120" s="80"/>
      <c r="G120" s="80"/>
      <c r="H120" s="82">
        <f>M57</f>
        <v>348.08549323138277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105" t="s">
        <v>149</v>
      </c>
      <c r="B122" s="105"/>
      <c r="C122" s="105"/>
      <c r="D122" s="105"/>
      <c r="E122" s="80"/>
      <c r="F122" s="80"/>
      <c r="G122" s="80"/>
      <c r="H122" s="81">
        <f>M69</f>
        <v>807.3516082243102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83" t="s">
        <v>127</v>
      </c>
      <c r="B124" s="83"/>
      <c r="C124" s="83"/>
      <c r="D124" s="83"/>
      <c r="E124" s="83"/>
      <c r="F124" s="83"/>
      <c r="G124" s="83"/>
      <c r="H124" s="81">
        <f>M76</f>
        <v>3500.9487999339976</v>
      </c>
    </row>
    <row r="125" spans="1:8" s="65" customFormat="1" ht="12.75">
      <c r="A125" s="79"/>
      <c r="B125" s="79"/>
      <c r="C125" s="79"/>
      <c r="D125" s="79"/>
      <c r="E125" s="79"/>
      <c r="F125" s="79"/>
      <c r="G125" s="79"/>
      <c r="H125" s="82"/>
    </row>
    <row r="126" spans="1:8" s="65" customFormat="1" ht="15.75">
      <c r="A126" s="80" t="s">
        <v>150</v>
      </c>
      <c r="B126" s="80"/>
      <c r="C126" s="80"/>
      <c r="D126" s="80"/>
      <c r="E126" s="80"/>
      <c r="F126" s="84"/>
      <c r="G126" s="84"/>
      <c r="H126" s="81" t="e">
        <f>L86</f>
        <v>#REF!</v>
      </c>
    </row>
    <row r="127" s="65" customFormat="1" ht="12.75"/>
    <row r="128" s="65" customFormat="1" ht="12.75"/>
    <row r="129" s="65" customFormat="1" ht="12.75">
      <c r="H129" s="65" t="s">
        <v>151</v>
      </c>
    </row>
    <row r="130" s="65" customFormat="1" ht="12.75">
      <c r="H130" s="65" t="s">
        <v>146</v>
      </c>
    </row>
    <row r="131" s="65" customFormat="1" ht="12.75">
      <c r="H131" s="65" t="s">
        <v>152</v>
      </c>
    </row>
    <row r="132" s="65" customFormat="1" ht="12.75"/>
    <row r="133" s="65" customFormat="1" ht="12.75"/>
    <row r="134" s="65" customFormat="1" ht="12.75">
      <c r="F134" s="65" t="s">
        <v>153</v>
      </c>
    </row>
    <row r="135" s="65" customFormat="1" ht="12.75">
      <c r="D135" s="65" t="s">
        <v>154</v>
      </c>
    </row>
    <row r="136" s="65" customFormat="1" ht="12.75">
      <c r="D136" s="65" t="s">
        <v>155</v>
      </c>
    </row>
    <row r="137" spans="6:13" s="65" customFormat="1" ht="12.75">
      <c r="F137" s="65" t="s">
        <v>156</v>
      </c>
      <c r="M137" s="65" t="s">
        <v>157</v>
      </c>
    </row>
    <row r="138" s="65" customFormat="1" ht="12.75">
      <c r="M138" s="65" t="s">
        <v>158</v>
      </c>
    </row>
    <row r="139" spans="1:13" s="65" customFormat="1" ht="12.75">
      <c r="A139" s="65" t="s">
        <v>159</v>
      </c>
      <c r="B139" s="65" t="s">
        <v>160</v>
      </c>
      <c r="D139" s="65" t="s">
        <v>161</v>
      </c>
      <c r="F139" s="65" t="s">
        <v>162</v>
      </c>
      <c r="G139" s="65" t="s">
        <v>163</v>
      </c>
      <c r="H139" s="65" t="s">
        <v>164</v>
      </c>
      <c r="J139" s="65" t="s">
        <v>165</v>
      </c>
      <c r="M139" s="73" t="s">
        <v>166</v>
      </c>
    </row>
    <row r="140" spans="1:13" s="65" customFormat="1" ht="12.75">
      <c r="A140" s="65" t="s">
        <v>167</v>
      </c>
      <c r="B140" s="65" t="s">
        <v>168</v>
      </c>
      <c r="D140" s="65" t="s">
        <v>169</v>
      </c>
      <c r="F140" s="65" t="s">
        <v>170</v>
      </c>
      <c r="G140" s="65" t="s">
        <v>171</v>
      </c>
      <c r="H140" s="65" t="s">
        <v>172</v>
      </c>
      <c r="J140" s="65" t="s">
        <v>173</v>
      </c>
      <c r="M140" s="65" t="s">
        <v>174</v>
      </c>
    </row>
    <row r="141" spans="8:9" s="65" customFormat="1" ht="12.75">
      <c r="H141" s="65" t="s">
        <v>175</v>
      </c>
      <c r="I141" s="65" t="s">
        <v>176</v>
      </c>
    </row>
    <row r="142" spans="8:13" s="65" customFormat="1" ht="12.75">
      <c r="H142" s="65" t="s">
        <v>170</v>
      </c>
      <c r="I142" s="65" t="s">
        <v>177</v>
      </c>
      <c r="M142" s="65" t="s">
        <v>178</v>
      </c>
    </row>
    <row r="143" spans="9:13" s="65" customFormat="1" ht="12.75">
      <c r="I143" s="65" t="s">
        <v>179</v>
      </c>
      <c r="M143" s="65" t="s">
        <v>158</v>
      </c>
    </row>
    <row r="144" s="65" customFormat="1" ht="12.75">
      <c r="M144" s="73" t="s">
        <v>166</v>
      </c>
    </row>
    <row r="145" spans="1:14" s="65" customFormat="1" ht="12.75">
      <c r="A145" s="65" t="s">
        <v>180</v>
      </c>
      <c r="B145" s="65" t="s">
        <v>181</v>
      </c>
      <c r="D145" s="65" t="s">
        <v>182</v>
      </c>
      <c r="M145" s="65" t="s">
        <v>174</v>
      </c>
      <c r="N145" s="65">
        <v>1137.9</v>
      </c>
    </row>
    <row r="146" spans="2:4" s="65" customFormat="1" ht="12.75">
      <c r="B146" s="65" t="s">
        <v>183</v>
      </c>
      <c r="D146" s="65" t="s">
        <v>184</v>
      </c>
    </row>
    <row r="147" spans="2:13" s="65" customFormat="1" ht="12.75">
      <c r="B147" s="65" t="s">
        <v>185</v>
      </c>
      <c r="D147" s="65" t="s">
        <v>186</v>
      </c>
      <c r="M147" s="65" t="s">
        <v>187</v>
      </c>
    </row>
    <row r="148" spans="2:13" s="65" customFormat="1" ht="12.75">
      <c r="B148" s="65" t="s">
        <v>188</v>
      </c>
      <c r="D148" s="65" t="s">
        <v>189</v>
      </c>
      <c r="M148" s="65" t="s">
        <v>158</v>
      </c>
    </row>
    <row r="149" spans="2:13" s="65" customFormat="1" ht="12.75">
      <c r="B149" s="65" t="s">
        <v>190</v>
      </c>
      <c r="M149" s="73" t="s">
        <v>166</v>
      </c>
    </row>
    <row r="150" spans="4:14" s="65" customFormat="1" ht="12.75">
      <c r="D150" s="65" t="s">
        <v>191</v>
      </c>
      <c r="M150" s="65" t="s">
        <v>174</v>
      </c>
      <c r="N150" s="65">
        <v>1860.3</v>
      </c>
    </row>
    <row r="151" spans="4:6" s="65" customFormat="1" ht="12.75">
      <c r="D151" s="65" t="s">
        <v>192</v>
      </c>
      <c r="F151" s="65" t="s">
        <v>193</v>
      </c>
    </row>
    <row r="152" spans="4:13" s="65" customFormat="1" ht="12.75">
      <c r="D152" s="65" t="s">
        <v>158</v>
      </c>
      <c r="F152" s="65" t="s">
        <v>194</v>
      </c>
      <c r="H152" s="65">
        <v>0.0687</v>
      </c>
      <c r="I152" s="65">
        <v>0</v>
      </c>
      <c r="K152" s="65">
        <f>N143/1000*H152</f>
        <v>0</v>
      </c>
      <c r="M152" s="65" t="s">
        <v>195</v>
      </c>
    </row>
    <row r="153" spans="4:13" s="65" customFormat="1" ht="12.75">
      <c r="D153" s="65" t="s">
        <v>196</v>
      </c>
      <c r="F153" s="65" t="s">
        <v>197</v>
      </c>
      <c r="H153" s="65">
        <v>0.0763</v>
      </c>
      <c r="I153" s="65">
        <v>0</v>
      </c>
      <c r="K153" s="65">
        <f>N144/1000*H153</f>
        <v>0</v>
      </c>
      <c r="M153" s="65" t="s">
        <v>158</v>
      </c>
    </row>
    <row r="154" spans="4:13" s="65" customFormat="1" ht="12.75">
      <c r="D154" s="65" t="s">
        <v>198</v>
      </c>
      <c r="F154" s="65" t="s">
        <v>199</v>
      </c>
      <c r="H154" s="65">
        <v>0.0839</v>
      </c>
      <c r="I154" s="65">
        <v>0</v>
      </c>
      <c r="K154" s="69">
        <f>N145/1000*H154</f>
        <v>0.09546981000000002</v>
      </c>
      <c r="M154" s="73" t="s">
        <v>166</v>
      </c>
    </row>
    <row r="155" spans="6:14" s="65" customFormat="1" ht="12.75">
      <c r="F155" s="65" t="s">
        <v>200</v>
      </c>
      <c r="M155" s="65" t="s">
        <v>174</v>
      </c>
      <c r="N155" s="65">
        <v>6414.9</v>
      </c>
    </row>
    <row r="156" s="65" customFormat="1" ht="12.75">
      <c r="F156" s="65" t="s">
        <v>190</v>
      </c>
    </row>
    <row r="157" spans="5:9" s="65" customFormat="1" ht="12.75">
      <c r="E157" s="65" t="s">
        <v>201</v>
      </c>
      <c r="I157" s="65">
        <v>0</v>
      </c>
    </row>
    <row r="158" spans="2:4" s="65" customFormat="1" ht="12.75">
      <c r="B158" s="65" t="s">
        <v>202</v>
      </c>
      <c r="D158" s="65" t="s">
        <v>203</v>
      </c>
    </row>
    <row r="159" s="65" customFormat="1" ht="12.75">
      <c r="D159" s="65" t="s">
        <v>204</v>
      </c>
    </row>
    <row r="160" s="65" customFormat="1" ht="12.75">
      <c r="D160" s="65" t="s">
        <v>205</v>
      </c>
    </row>
    <row r="161" s="65" customFormat="1" ht="12.75">
      <c r="D161" s="65" t="s">
        <v>191</v>
      </c>
    </row>
    <row r="162" spans="4:11" s="65" customFormat="1" ht="12.75">
      <c r="D162" s="65" t="s">
        <v>158</v>
      </c>
      <c r="H162" s="65">
        <v>0.00338</v>
      </c>
      <c r="K162" s="69">
        <f>N166/1000*H162</f>
        <v>0</v>
      </c>
    </row>
    <row r="163" spans="4:11" s="65" customFormat="1" ht="12.75">
      <c r="D163" s="65" t="s">
        <v>196</v>
      </c>
      <c r="H163" s="65">
        <v>0.00376</v>
      </c>
      <c r="K163" s="69">
        <f>N167/1000*H163</f>
        <v>0</v>
      </c>
    </row>
    <row r="164" spans="4:11" s="65" customFormat="1" ht="12.75">
      <c r="D164" s="65" t="s">
        <v>198</v>
      </c>
      <c r="H164" s="65">
        <v>0.00414</v>
      </c>
      <c r="K164" s="69">
        <f>N168/1000*H164</f>
        <v>0.026557685999999994</v>
      </c>
    </row>
    <row r="165" s="65" customFormat="1" ht="12.75">
      <c r="M165" s="65" t="s">
        <v>206</v>
      </c>
    </row>
    <row r="166" spans="1:13" s="65" customFormat="1" ht="12.75">
      <c r="A166" s="65" t="s">
        <v>207</v>
      </c>
      <c r="B166" s="65" t="s">
        <v>208</v>
      </c>
      <c r="D166" s="65" t="s">
        <v>203</v>
      </c>
      <c r="M166" s="65" t="s">
        <v>158</v>
      </c>
    </row>
    <row r="167" spans="4:13" s="65" customFormat="1" ht="12.75">
      <c r="D167" s="65" t="s">
        <v>209</v>
      </c>
      <c r="M167" s="73" t="s">
        <v>166</v>
      </c>
    </row>
    <row r="168" spans="4:14" s="65" customFormat="1" ht="12.75">
      <c r="D168" s="65" t="s">
        <v>191</v>
      </c>
      <c r="M168" s="65" t="s">
        <v>174</v>
      </c>
      <c r="N168" s="65">
        <v>6414.9</v>
      </c>
    </row>
    <row r="169" spans="4:11" s="65" customFormat="1" ht="12.75">
      <c r="D169" s="65" t="s">
        <v>158</v>
      </c>
      <c r="H169" s="65">
        <v>0.02043</v>
      </c>
      <c r="I169" s="65">
        <v>0</v>
      </c>
      <c r="K169" s="65">
        <f>N153/1000*H169</f>
        <v>0</v>
      </c>
    </row>
    <row r="170" spans="4:13" s="65" customFormat="1" ht="12.75">
      <c r="D170" s="65" t="s">
        <v>196</v>
      </c>
      <c r="H170" s="65">
        <v>0.0227</v>
      </c>
      <c r="I170" s="65">
        <v>0</v>
      </c>
      <c r="K170" s="65">
        <f>N154/1000*H170</f>
        <v>0</v>
      </c>
      <c r="M170" s="65" t="s">
        <v>210</v>
      </c>
    </row>
    <row r="171" spans="4:13" s="65" customFormat="1" ht="12.75">
      <c r="D171" s="65" t="s">
        <v>198</v>
      </c>
      <c r="H171" s="65">
        <v>0.02497</v>
      </c>
      <c r="I171" s="65">
        <v>0</v>
      </c>
      <c r="K171" s="65">
        <f>N155/1000*H171</f>
        <v>0.160180053</v>
      </c>
      <c r="M171" s="65" t="s">
        <v>158</v>
      </c>
    </row>
    <row r="172" spans="4:14" s="65" customFormat="1" ht="12.75">
      <c r="D172" s="65" t="s">
        <v>211</v>
      </c>
      <c r="M172" s="73" t="s">
        <v>166</v>
      </c>
      <c r="N172" s="65">
        <v>208</v>
      </c>
    </row>
    <row r="173" spans="4:13" s="65" customFormat="1" ht="12.75">
      <c r="D173" s="65" t="s">
        <v>191</v>
      </c>
      <c r="M173" s="65" t="s">
        <v>174</v>
      </c>
    </row>
    <row r="174" spans="4:6" s="65" customFormat="1" ht="12.75">
      <c r="D174" s="65" t="s">
        <v>192</v>
      </c>
      <c r="F174" s="65" t="s">
        <v>193</v>
      </c>
    </row>
    <row r="175" spans="4:11" s="65" customFormat="1" ht="12.75">
      <c r="D175" s="65" t="s">
        <v>158</v>
      </c>
      <c r="H175" s="65">
        <v>0.00999</v>
      </c>
      <c r="K175" s="69">
        <f>N138/1000*H175</f>
        <v>0</v>
      </c>
    </row>
    <row r="176" spans="4:11" s="65" customFormat="1" ht="12.75">
      <c r="D176" s="65" t="s">
        <v>196</v>
      </c>
      <c r="H176" s="65">
        <v>0.0111</v>
      </c>
      <c r="K176" s="69">
        <f>N139/1000*H176</f>
        <v>0</v>
      </c>
    </row>
    <row r="177" spans="4:11" s="65" customFormat="1" ht="12.75">
      <c r="D177" s="65" t="s">
        <v>198</v>
      </c>
      <c r="H177" s="65">
        <v>0.01221</v>
      </c>
      <c r="I177" s="65">
        <v>0</v>
      </c>
      <c r="K177" s="69">
        <f>N140/1000*H177</f>
        <v>0</v>
      </c>
    </row>
    <row r="178" s="65" customFormat="1" ht="12.75">
      <c r="I178" s="65">
        <v>0</v>
      </c>
    </row>
    <row r="179" spans="5:9" s="65" customFormat="1" ht="12.75">
      <c r="E179" s="65" t="s">
        <v>201</v>
      </c>
      <c r="G179" s="65">
        <v>0</v>
      </c>
      <c r="I179" s="65">
        <v>0</v>
      </c>
    </row>
    <row r="180" spans="1:6" s="65" customFormat="1" ht="12.75">
      <c r="A180" s="65" t="s">
        <v>212</v>
      </c>
      <c r="B180" s="65" t="s">
        <v>213</v>
      </c>
      <c r="D180" s="65" t="s">
        <v>203</v>
      </c>
      <c r="F180" s="65" t="s">
        <v>193</v>
      </c>
    </row>
    <row r="181" spans="2:6" s="65" customFormat="1" ht="12.75">
      <c r="B181" s="65" t="s">
        <v>214</v>
      </c>
      <c r="D181" s="65" t="s">
        <v>209</v>
      </c>
      <c r="F181" s="65" t="s">
        <v>215</v>
      </c>
    </row>
    <row r="182" spans="4:6" s="65" customFormat="1" ht="12.75">
      <c r="D182" s="65" t="s">
        <v>191</v>
      </c>
      <c r="F182" s="65" t="s">
        <v>216</v>
      </c>
    </row>
    <row r="183" spans="4:11" s="65" customFormat="1" ht="12.75">
      <c r="D183" s="65" t="s">
        <v>158</v>
      </c>
      <c r="H183" s="65">
        <v>0.018432</v>
      </c>
      <c r="I183" s="65">
        <v>0</v>
      </c>
      <c r="K183" s="65">
        <f>N153/1000*H183</f>
        <v>0</v>
      </c>
    </row>
    <row r="184" spans="4:11" s="65" customFormat="1" ht="12.75">
      <c r="D184" s="65" t="s">
        <v>196</v>
      </c>
      <c r="H184" s="65">
        <v>0.02048</v>
      </c>
      <c r="I184" s="65">
        <v>0</v>
      </c>
      <c r="K184" s="65">
        <f>N154/1000*H184</f>
        <v>0</v>
      </c>
    </row>
    <row r="185" spans="4:11" s="65" customFormat="1" ht="12.75">
      <c r="D185" s="65" t="s">
        <v>198</v>
      </c>
      <c r="H185" s="65">
        <f>H184*1.1</f>
        <v>0.022528000000000003</v>
      </c>
      <c r="K185" s="65">
        <f>N155/1000*H185</f>
        <v>0.1445148672</v>
      </c>
    </row>
    <row r="186" s="65" customFormat="1" ht="12.75">
      <c r="D186" s="65" t="s">
        <v>211</v>
      </c>
    </row>
    <row r="187" s="65" customFormat="1" ht="12.75">
      <c r="D187" s="65" t="s">
        <v>191</v>
      </c>
    </row>
    <row r="188" s="65" customFormat="1" ht="12.75">
      <c r="D188" s="65" t="s">
        <v>192</v>
      </c>
    </row>
    <row r="189" spans="4:11" s="65" customFormat="1" ht="12.75">
      <c r="D189" s="65" t="s">
        <v>158</v>
      </c>
      <c r="K189" s="69">
        <f>N138/1000*H189</f>
        <v>0</v>
      </c>
    </row>
    <row r="190" spans="4:11" s="65" customFormat="1" ht="12.75">
      <c r="D190" s="65" t="s">
        <v>196</v>
      </c>
      <c r="H190" s="65">
        <v>0.02295</v>
      </c>
      <c r="I190" s="65">
        <v>0</v>
      </c>
      <c r="K190" s="69">
        <f>N139/1000*H190</f>
        <v>0</v>
      </c>
    </row>
    <row r="191" spans="4:11" s="65" customFormat="1" ht="12.75">
      <c r="D191" s="65" t="s">
        <v>198</v>
      </c>
      <c r="H191" s="65">
        <v>0.025245</v>
      </c>
      <c r="I191" s="65">
        <v>0</v>
      </c>
      <c r="K191" s="69">
        <f>N140/1000*H191</f>
        <v>0</v>
      </c>
    </row>
    <row r="192" spans="5:11" s="65" customFormat="1" ht="12.75">
      <c r="E192" s="65" t="s">
        <v>201</v>
      </c>
      <c r="G192" s="65">
        <v>0</v>
      </c>
      <c r="I192" s="65">
        <v>0</v>
      </c>
      <c r="K192" s="69"/>
    </row>
    <row r="193" s="65" customFormat="1" ht="12.75">
      <c r="K193" s="69"/>
    </row>
    <row r="194" spans="1:11" s="65" customFormat="1" ht="12.75">
      <c r="A194" s="65" t="s">
        <v>217</v>
      </c>
      <c r="B194" s="65" t="s">
        <v>218</v>
      </c>
      <c r="D194" s="65" t="s">
        <v>203</v>
      </c>
      <c r="K194" s="69"/>
    </row>
    <row r="195" spans="4:11" s="65" customFormat="1" ht="12.75">
      <c r="D195" s="65" t="s">
        <v>209</v>
      </c>
      <c r="K195" s="69"/>
    </row>
    <row r="196" spans="4:11" s="65" customFormat="1" ht="12.75">
      <c r="D196" s="65" t="s">
        <v>191</v>
      </c>
      <c r="K196" s="69"/>
    </row>
    <row r="197" spans="4:11" s="65" customFormat="1" ht="12.75">
      <c r="D197" s="65" t="s">
        <v>158</v>
      </c>
      <c r="H197" s="65">
        <v>0.027585</v>
      </c>
      <c r="I197" s="65">
        <v>0</v>
      </c>
      <c r="K197" s="69">
        <f>N153/1000*H197</f>
        <v>0</v>
      </c>
    </row>
    <row r="198" spans="4:11" s="65" customFormat="1" ht="12.75">
      <c r="D198" s="65" t="s">
        <v>196</v>
      </c>
      <c r="H198" s="65">
        <v>0.03065</v>
      </c>
      <c r="I198" s="65">
        <v>0</v>
      </c>
      <c r="K198" s="69">
        <f>N154/1000*H198</f>
        <v>0</v>
      </c>
    </row>
    <row r="199" spans="4:11" s="65" customFormat="1" ht="12.75">
      <c r="D199" s="65" t="s">
        <v>198</v>
      </c>
      <c r="H199" s="65">
        <f>H198*1.1</f>
        <v>0.033715</v>
      </c>
      <c r="K199" s="69">
        <f>N155/1000*H199</f>
        <v>0.2162783535</v>
      </c>
    </row>
    <row r="200" spans="4:11" s="65" customFormat="1" ht="12.75">
      <c r="D200" s="65" t="s">
        <v>211</v>
      </c>
      <c r="K200" s="69"/>
    </row>
    <row r="201" spans="4:11" s="65" customFormat="1" ht="12.75">
      <c r="D201" s="65" t="s">
        <v>191</v>
      </c>
      <c r="K201" s="69"/>
    </row>
    <row r="202" spans="4:11" s="65" customFormat="1" ht="12.75">
      <c r="D202" s="65" t="s">
        <v>192</v>
      </c>
      <c r="K202" s="69"/>
    </row>
    <row r="203" spans="4:11" s="65" customFormat="1" ht="12.75">
      <c r="D203" s="65" t="s">
        <v>158</v>
      </c>
      <c r="K203" s="69">
        <f>N138/1000*H203</f>
        <v>0</v>
      </c>
    </row>
    <row r="204" spans="4:11" s="65" customFormat="1" ht="12.75">
      <c r="D204" s="65" t="s">
        <v>196</v>
      </c>
      <c r="H204" s="65">
        <v>0.00539</v>
      </c>
      <c r="I204" s="65">
        <v>0</v>
      </c>
      <c r="K204" s="69">
        <f>N139/1000*H204</f>
        <v>0</v>
      </c>
    </row>
    <row r="205" spans="4:11" s="65" customFormat="1" ht="12.75">
      <c r="D205" s="65" t="s">
        <v>198</v>
      </c>
      <c r="H205" s="65">
        <v>0.005929</v>
      </c>
      <c r="I205" s="65">
        <v>0</v>
      </c>
      <c r="K205" s="69">
        <f>N140/1000*H205</f>
        <v>0</v>
      </c>
    </row>
    <row r="206" spans="5:11" s="65" customFormat="1" ht="12.75">
      <c r="E206" s="65" t="s">
        <v>201</v>
      </c>
      <c r="G206" s="65">
        <v>0</v>
      </c>
      <c r="I206" s="65">
        <v>0</v>
      </c>
      <c r="K206" s="69"/>
    </row>
    <row r="207" s="65" customFormat="1" ht="12.75">
      <c r="K207" s="69"/>
    </row>
    <row r="208" spans="1:11" s="65" customFormat="1" ht="12.75">
      <c r="A208" s="65" t="s">
        <v>219</v>
      </c>
      <c r="B208" s="65" t="s">
        <v>220</v>
      </c>
      <c r="D208" s="65" t="s">
        <v>203</v>
      </c>
      <c r="K208" s="69"/>
    </row>
    <row r="209" spans="2:11" s="65" customFormat="1" ht="12.75">
      <c r="B209" s="65" t="s">
        <v>214</v>
      </c>
      <c r="D209" s="65" t="s">
        <v>209</v>
      </c>
      <c r="K209" s="69"/>
    </row>
    <row r="210" spans="4:11" s="65" customFormat="1" ht="12.75">
      <c r="D210" s="65" t="s">
        <v>191</v>
      </c>
      <c r="K210" s="69"/>
    </row>
    <row r="211" spans="4:11" s="65" customFormat="1" ht="12.75">
      <c r="D211" s="65" t="s">
        <v>158</v>
      </c>
      <c r="H211" s="65">
        <v>0.022437</v>
      </c>
      <c r="I211" s="65">
        <v>0</v>
      </c>
      <c r="K211" s="69">
        <f>N153/1000*H211</f>
        <v>0</v>
      </c>
    </row>
    <row r="212" spans="4:11" s="65" customFormat="1" ht="12.75">
      <c r="D212" s="65" t="s">
        <v>196</v>
      </c>
      <c r="H212" s="65">
        <v>0.02493</v>
      </c>
      <c r="I212" s="65">
        <v>0</v>
      </c>
      <c r="K212" s="69">
        <f>N154/1000*H212</f>
        <v>0</v>
      </c>
    </row>
    <row r="213" spans="4:11" s="65" customFormat="1" ht="12.75">
      <c r="D213" s="65" t="s">
        <v>198</v>
      </c>
      <c r="H213" s="65">
        <f>H212*1.1</f>
        <v>0.027423000000000003</v>
      </c>
      <c r="K213" s="65">
        <f>N155/1000*H213</f>
        <v>0.1759158027</v>
      </c>
    </row>
    <row r="214" s="65" customFormat="1" ht="12.75">
      <c r="D214" s="65" t="s">
        <v>211</v>
      </c>
    </row>
    <row r="215" s="65" customFormat="1" ht="12.75">
      <c r="D215" s="65" t="s">
        <v>191</v>
      </c>
    </row>
    <row r="216" s="65" customFormat="1" ht="12.75">
      <c r="D216" s="65" t="s">
        <v>192</v>
      </c>
    </row>
    <row r="217" spans="4:11" s="65" customFormat="1" ht="12.75">
      <c r="D217" s="65" t="s">
        <v>158</v>
      </c>
      <c r="K217" s="69">
        <f>N138/1000*H217</f>
        <v>0</v>
      </c>
    </row>
    <row r="218" spans="4:11" s="65" customFormat="1" ht="12.75">
      <c r="D218" s="65" t="s">
        <v>196</v>
      </c>
      <c r="H218" s="65">
        <v>0.00888</v>
      </c>
      <c r="I218" s="65">
        <v>0</v>
      </c>
      <c r="K218" s="69">
        <f>N139/1000*H218</f>
        <v>0</v>
      </c>
    </row>
    <row r="219" spans="4:11" s="65" customFormat="1" ht="12.75">
      <c r="D219" s="65" t="s">
        <v>198</v>
      </c>
      <c r="H219" s="65">
        <v>0.009768</v>
      </c>
      <c r="I219" s="65">
        <v>0</v>
      </c>
      <c r="K219" s="69">
        <f>N140/1000*H219</f>
        <v>0</v>
      </c>
    </row>
    <row r="220" spans="5:11" s="65" customFormat="1" ht="12.75">
      <c r="E220" s="65" t="s">
        <v>201</v>
      </c>
      <c r="G220" s="65">
        <v>0</v>
      </c>
      <c r="I220" s="65">
        <v>0</v>
      </c>
      <c r="K220" s="69"/>
    </row>
    <row r="221" s="65" customFormat="1" ht="12.75">
      <c r="K221" s="69"/>
    </row>
    <row r="222" spans="2:4" s="65" customFormat="1" ht="12.75">
      <c r="B222" s="65" t="s">
        <v>221</v>
      </c>
      <c r="D222" s="65" t="s">
        <v>203</v>
      </c>
    </row>
    <row r="223" s="65" customFormat="1" ht="12.75">
      <c r="D223" s="65" t="s">
        <v>204</v>
      </c>
    </row>
    <row r="224" s="65" customFormat="1" ht="12.75">
      <c r="D224" s="65" t="s">
        <v>205</v>
      </c>
    </row>
    <row r="225" s="65" customFormat="1" ht="12.75">
      <c r="D225" s="65" t="s">
        <v>191</v>
      </c>
    </row>
    <row r="226" spans="4:11" s="65" customFormat="1" ht="12.75">
      <c r="D226" s="65" t="s">
        <v>158</v>
      </c>
      <c r="H226" s="65">
        <v>0.0243</v>
      </c>
      <c r="K226" s="69">
        <f>N166/1000*H226</f>
        <v>0</v>
      </c>
    </row>
    <row r="227" spans="4:11" s="65" customFormat="1" ht="12.75">
      <c r="D227" s="65" t="s">
        <v>196</v>
      </c>
      <c r="H227" s="65">
        <v>0.027</v>
      </c>
      <c r="K227" s="69">
        <f>N167/1000*H227</f>
        <v>0</v>
      </c>
    </row>
    <row r="228" spans="4:11" s="65" customFormat="1" ht="12.75">
      <c r="D228" s="65" t="s">
        <v>198</v>
      </c>
      <c r="H228" s="65">
        <v>0.0297</v>
      </c>
      <c r="K228" s="69">
        <f>N168/1000*H228</f>
        <v>0.19052253</v>
      </c>
    </row>
    <row r="229" spans="1:11" s="65" customFormat="1" ht="12.75">
      <c r="A229" s="65" t="s">
        <v>222</v>
      </c>
      <c r="B229" s="65" t="s">
        <v>223</v>
      </c>
      <c r="D229" s="65" t="s">
        <v>203</v>
      </c>
      <c r="K229" s="69"/>
    </row>
    <row r="230" spans="4:11" s="65" customFormat="1" ht="12.75">
      <c r="D230" s="65" t="s">
        <v>209</v>
      </c>
      <c r="K230" s="69"/>
    </row>
    <row r="231" spans="4:11" s="65" customFormat="1" ht="12.75">
      <c r="D231" s="65" t="s">
        <v>191</v>
      </c>
      <c r="K231" s="69"/>
    </row>
    <row r="232" spans="4:11" s="65" customFormat="1" ht="12.75">
      <c r="D232" s="65" t="s">
        <v>158</v>
      </c>
      <c r="H232" s="65">
        <v>0.01773</v>
      </c>
      <c r="I232" s="65">
        <v>0</v>
      </c>
      <c r="K232" s="69">
        <f>N153/1000*H232</f>
        <v>0</v>
      </c>
    </row>
    <row r="233" spans="4:11" s="65" customFormat="1" ht="12.75">
      <c r="D233" s="65" t="s">
        <v>196</v>
      </c>
      <c r="H233" s="65">
        <v>0.0197</v>
      </c>
      <c r="I233" s="65">
        <v>0</v>
      </c>
      <c r="K233" s="69">
        <f>N154/1000*H233</f>
        <v>0</v>
      </c>
    </row>
    <row r="234" spans="4:11" s="65" customFormat="1" ht="12.75">
      <c r="D234" s="65" t="s">
        <v>198</v>
      </c>
      <c r="H234" s="65">
        <f>H233*1.1</f>
        <v>0.021670000000000002</v>
      </c>
      <c r="K234" s="69">
        <f>N155/1000*H234</f>
        <v>0.139010883</v>
      </c>
    </row>
    <row r="235" spans="4:11" s="65" customFormat="1" ht="12.75">
      <c r="D235" s="65" t="s">
        <v>211</v>
      </c>
      <c r="K235" s="69"/>
    </row>
    <row r="236" spans="4:11" s="65" customFormat="1" ht="12.75">
      <c r="D236" s="65" t="s">
        <v>191</v>
      </c>
      <c r="K236" s="69"/>
    </row>
    <row r="237" spans="4:11" s="65" customFormat="1" ht="12.75">
      <c r="D237" s="65" t="s">
        <v>192</v>
      </c>
      <c r="K237" s="69"/>
    </row>
    <row r="238" spans="4:11" s="65" customFormat="1" ht="12.75">
      <c r="D238" s="65" t="s">
        <v>158</v>
      </c>
      <c r="K238" s="69">
        <f>N138/1000*H238</f>
        <v>0</v>
      </c>
    </row>
    <row r="239" spans="4:11" s="65" customFormat="1" ht="12.75">
      <c r="D239" s="65" t="s">
        <v>196</v>
      </c>
      <c r="H239" s="65">
        <v>0.0018</v>
      </c>
      <c r="I239" s="65">
        <v>0</v>
      </c>
      <c r="K239" s="69">
        <f>N139/1000*H239</f>
        <v>0</v>
      </c>
    </row>
    <row r="240" spans="4:11" s="65" customFormat="1" ht="12.75">
      <c r="D240" s="65" t="s">
        <v>198</v>
      </c>
      <c r="H240" s="65">
        <v>0.00198</v>
      </c>
      <c r="I240" s="65">
        <v>0</v>
      </c>
      <c r="K240" s="69">
        <f>N140/1000*H240</f>
        <v>0</v>
      </c>
    </row>
    <row r="241" spans="5:11" s="65" customFormat="1" ht="12.75">
      <c r="E241" s="65" t="s">
        <v>201</v>
      </c>
      <c r="G241" s="65">
        <v>0</v>
      </c>
      <c r="I241" s="65">
        <v>0</v>
      </c>
      <c r="K241" s="69"/>
    </row>
    <row r="242" s="65" customFormat="1" ht="12.75">
      <c r="K242" s="69"/>
    </row>
    <row r="243" spans="2:7" s="65" customFormat="1" ht="12.75">
      <c r="B243" s="65" t="s">
        <v>224</v>
      </c>
      <c r="D243" s="65" t="s">
        <v>203</v>
      </c>
      <c r="G243" s="65" t="s">
        <v>225</v>
      </c>
    </row>
    <row r="244" spans="4:7" s="65" customFormat="1" ht="12.75">
      <c r="D244" s="65" t="s">
        <v>204</v>
      </c>
      <c r="G244" s="65" t="s">
        <v>226</v>
      </c>
    </row>
    <row r="245" spans="4:7" s="65" customFormat="1" ht="12.75">
      <c r="D245" s="65" t="s">
        <v>205</v>
      </c>
      <c r="G245" s="65" t="s">
        <v>227</v>
      </c>
    </row>
    <row r="246" s="65" customFormat="1" ht="12.75">
      <c r="D246" s="65" t="s">
        <v>191</v>
      </c>
    </row>
    <row r="247" spans="4:11" s="65" customFormat="1" ht="12.75">
      <c r="D247" s="65" t="s">
        <v>158</v>
      </c>
      <c r="H247" s="65">
        <v>0.02367</v>
      </c>
      <c r="K247" s="69">
        <f>N148/1000*H247</f>
        <v>0</v>
      </c>
    </row>
    <row r="248" spans="4:11" s="65" customFormat="1" ht="12.75">
      <c r="D248" s="65" t="s">
        <v>196</v>
      </c>
      <c r="H248" s="65">
        <v>0.0263</v>
      </c>
      <c r="K248" s="69">
        <f>N149/1000*H248</f>
        <v>0</v>
      </c>
    </row>
    <row r="249" spans="4:11" s="65" customFormat="1" ht="12.75">
      <c r="D249" s="65" t="s">
        <v>198</v>
      </c>
      <c r="H249" s="65">
        <v>0.02893</v>
      </c>
      <c r="K249" s="69">
        <f>N150/1000*H249</f>
        <v>0.053818479</v>
      </c>
    </row>
    <row r="250" s="65" customFormat="1" ht="12.75">
      <c r="K250" s="69"/>
    </row>
    <row r="251" spans="1:11" s="65" customFormat="1" ht="12.75">
      <c r="A251" s="65" t="s">
        <v>228</v>
      </c>
      <c r="B251" s="65" t="s">
        <v>229</v>
      </c>
      <c r="D251" s="65" t="s">
        <v>203</v>
      </c>
      <c r="K251" s="69"/>
    </row>
    <row r="252" spans="2:11" s="65" customFormat="1" ht="12.75">
      <c r="B252" s="65" t="s">
        <v>230</v>
      </c>
      <c r="D252" s="65" t="s">
        <v>209</v>
      </c>
      <c r="K252" s="69"/>
    </row>
    <row r="253" spans="4:11" s="65" customFormat="1" ht="12.75">
      <c r="D253" s="65" t="s">
        <v>191</v>
      </c>
      <c r="K253" s="69"/>
    </row>
    <row r="254" spans="4:11" s="65" customFormat="1" ht="12.75">
      <c r="D254" s="65" t="s">
        <v>158</v>
      </c>
      <c r="H254" s="65">
        <v>0.014679</v>
      </c>
      <c r="I254" s="65">
        <v>0</v>
      </c>
      <c r="K254" s="69">
        <f>N153/1000*H254</f>
        <v>0</v>
      </c>
    </row>
    <row r="255" spans="4:11" s="65" customFormat="1" ht="12.75">
      <c r="D255" s="65" t="s">
        <v>196</v>
      </c>
      <c r="H255" s="65">
        <v>0.01631</v>
      </c>
      <c r="I255" s="65">
        <v>0</v>
      </c>
      <c r="K255" s="69">
        <f>N154/1000*H255</f>
        <v>0</v>
      </c>
    </row>
    <row r="256" spans="4:11" s="65" customFormat="1" ht="12.75">
      <c r="D256" s="65" t="s">
        <v>198</v>
      </c>
      <c r="H256" s="65">
        <f>H255*1.1</f>
        <v>0.017941000000000002</v>
      </c>
      <c r="K256" s="69">
        <f>N155/1000*H256</f>
        <v>0.1150897209</v>
      </c>
    </row>
    <row r="257" spans="4:11" s="65" customFormat="1" ht="12.75">
      <c r="D257" s="65" t="s">
        <v>211</v>
      </c>
      <c r="K257" s="69"/>
    </row>
    <row r="258" spans="4:11" s="65" customFormat="1" ht="12.75">
      <c r="D258" s="65" t="s">
        <v>191</v>
      </c>
      <c r="K258" s="69"/>
    </row>
    <row r="259" spans="4:11" s="65" customFormat="1" ht="12.75">
      <c r="D259" s="65" t="s">
        <v>192</v>
      </c>
      <c r="K259" s="69"/>
    </row>
    <row r="260" spans="4:11" s="65" customFormat="1" ht="12.75">
      <c r="D260" s="65" t="s">
        <v>158</v>
      </c>
      <c r="K260" s="69">
        <f>N138/1000*H260</f>
        <v>0</v>
      </c>
    </row>
    <row r="261" spans="4:11" s="65" customFormat="1" ht="12.75">
      <c r="D261" s="65" t="s">
        <v>196</v>
      </c>
      <c r="H261" s="65">
        <v>0.01631</v>
      </c>
      <c r="I261" s="65">
        <v>0</v>
      </c>
      <c r="K261" s="69">
        <f>N139/1000*H261</f>
        <v>0</v>
      </c>
    </row>
    <row r="262" spans="4:11" s="65" customFormat="1" ht="12.75">
      <c r="D262" s="65" t="s">
        <v>198</v>
      </c>
      <c r="H262" s="65">
        <v>0.017941</v>
      </c>
      <c r="I262" s="65">
        <v>0</v>
      </c>
      <c r="K262" s="69">
        <f>N140/1000*H262</f>
        <v>0</v>
      </c>
    </row>
    <row r="263" spans="5:11" s="65" customFormat="1" ht="12.75">
      <c r="E263" s="65" t="s">
        <v>201</v>
      </c>
      <c r="G263" s="65">
        <v>0</v>
      </c>
      <c r="I263" s="65">
        <v>0</v>
      </c>
      <c r="K263" s="69"/>
    </row>
    <row r="264" s="65" customFormat="1" ht="12.75">
      <c r="K264" s="69"/>
    </row>
    <row r="265" spans="1:11" s="65" customFormat="1" ht="12.75">
      <c r="A265" s="65" t="s">
        <v>231</v>
      </c>
      <c r="B265" s="65" t="s">
        <v>232</v>
      </c>
      <c r="D265" s="65" t="s">
        <v>203</v>
      </c>
      <c r="K265" s="69"/>
    </row>
    <row r="266" spans="2:11" s="65" customFormat="1" ht="12.75">
      <c r="B266" s="65" t="s">
        <v>233</v>
      </c>
      <c r="D266" s="65" t="s">
        <v>211</v>
      </c>
      <c r="K266" s="69"/>
    </row>
    <row r="267" spans="4:11" s="65" customFormat="1" ht="12.75">
      <c r="D267" s="65" t="s">
        <v>209</v>
      </c>
      <c r="K267" s="69"/>
    </row>
    <row r="268" spans="4:11" s="65" customFormat="1" ht="12.75">
      <c r="D268" s="65" t="s">
        <v>234</v>
      </c>
      <c r="K268" s="69"/>
    </row>
    <row r="269" spans="4:11" s="65" customFormat="1" ht="12.75">
      <c r="D269" s="65" t="s">
        <v>235</v>
      </c>
      <c r="F269" s="65" t="s">
        <v>236</v>
      </c>
      <c r="K269" s="69"/>
    </row>
    <row r="270" spans="4:11" s="65" customFormat="1" ht="12.75">
      <c r="D270" s="65" t="s">
        <v>191</v>
      </c>
      <c r="F270" s="65" t="s">
        <v>237</v>
      </c>
      <c r="K270" s="69"/>
    </row>
    <row r="271" spans="4:11" s="65" customFormat="1" ht="12.75">
      <c r="D271" s="65" t="s">
        <v>158</v>
      </c>
      <c r="H271" s="65">
        <v>41000</v>
      </c>
      <c r="I271" s="65">
        <v>0</v>
      </c>
      <c r="K271" s="69">
        <f>N166/H271</f>
        <v>0</v>
      </c>
    </row>
    <row r="272" spans="4:11" s="65" customFormat="1" ht="12.75">
      <c r="D272" s="65" t="s">
        <v>196</v>
      </c>
      <c r="H272" s="65">
        <v>39000</v>
      </c>
      <c r="I272" s="65">
        <v>0</v>
      </c>
      <c r="K272" s="69">
        <f>N167/H272</f>
        <v>0</v>
      </c>
    </row>
    <row r="273" spans="4:11" s="65" customFormat="1" ht="12.75">
      <c r="D273" s="65" t="s">
        <v>198</v>
      </c>
      <c r="H273" s="65">
        <v>37000</v>
      </c>
      <c r="I273" s="65">
        <v>0</v>
      </c>
      <c r="K273" s="69">
        <f>N168/H273</f>
        <v>0.17337567567567566</v>
      </c>
    </row>
    <row r="274" s="65" customFormat="1" ht="12.75">
      <c r="K274" s="69"/>
    </row>
    <row r="275" spans="4:11" s="65" customFormat="1" ht="12.75">
      <c r="D275" s="65" t="s">
        <v>238</v>
      </c>
      <c r="K275" s="69"/>
    </row>
    <row r="276" spans="4:11" s="65" customFormat="1" ht="12.75">
      <c r="D276" s="65" t="s">
        <v>239</v>
      </c>
      <c r="F276" s="65" t="s">
        <v>240</v>
      </c>
      <c r="K276" s="69"/>
    </row>
    <row r="277" spans="4:11" s="65" customFormat="1" ht="12.75">
      <c r="D277" s="65" t="s">
        <v>191</v>
      </c>
      <c r="K277" s="69"/>
    </row>
    <row r="278" spans="4:11" s="65" customFormat="1" ht="12.75">
      <c r="D278" s="65" t="s">
        <v>158</v>
      </c>
      <c r="H278" s="65">
        <v>450</v>
      </c>
      <c r="I278" s="65">
        <v>0</v>
      </c>
      <c r="K278" s="69">
        <f>N171/H278</f>
        <v>0</v>
      </c>
    </row>
    <row r="279" spans="4:11" s="65" customFormat="1" ht="12.75">
      <c r="D279" s="65" t="s">
        <v>196</v>
      </c>
      <c r="H279" s="65">
        <v>375</v>
      </c>
      <c r="I279" s="65">
        <v>0</v>
      </c>
      <c r="K279" s="69">
        <f>N172/H279</f>
        <v>0.5546666666666666</v>
      </c>
    </row>
    <row r="280" spans="4:11" s="65" customFormat="1" ht="12.75">
      <c r="D280" s="65" t="s">
        <v>198</v>
      </c>
      <c r="H280" s="65">
        <v>310</v>
      </c>
      <c r="I280" s="65">
        <v>0</v>
      </c>
      <c r="K280" s="69">
        <f>N173/H280</f>
        <v>0</v>
      </c>
    </row>
    <row r="281" spans="5:11" s="65" customFormat="1" ht="12.75">
      <c r="E281" s="65" t="s">
        <v>201</v>
      </c>
      <c r="G281" s="65">
        <v>0</v>
      </c>
      <c r="I281" s="65">
        <v>0</v>
      </c>
      <c r="K281" s="69"/>
    </row>
    <row r="282" s="65" customFormat="1" ht="12.75">
      <c r="K282" s="69"/>
    </row>
    <row r="283" spans="1:11" s="65" customFormat="1" ht="12.75">
      <c r="A283" s="65" t="s">
        <v>241</v>
      </c>
      <c r="B283" s="65" t="s">
        <v>242</v>
      </c>
      <c r="D283" s="65" t="s">
        <v>243</v>
      </c>
      <c r="K283" s="69"/>
    </row>
    <row r="284" spans="4:11" s="65" customFormat="1" ht="12.75">
      <c r="D284" s="65" t="s">
        <v>244</v>
      </c>
      <c r="F284" s="65" t="s">
        <v>240</v>
      </c>
      <c r="K284" s="69"/>
    </row>
    <row r="285" spans="4:11" s="65" customFormat="1" ht="12.75">
      <c r="D285" s="65" t="s">
        <v>245</v>
      </c>
      <c r="K285" s="69"/>
    </row>
    <row r="286" spans="4:11" s="65" customFormat="1" ht="12.75">
      <c r="D286" s="65" t="s">
        <v>158</v>
      </c>
      <c r="H286" s="65">
        <v>2350</v>
      </c>
      <c r="I286" s="65">
        <v>0</v>
      </c>
      <c r="K286" s="69">
        <f>N171/H286</f>
        <v>0</v>
      </c>
    </row>
    <row r="287" spans="4:11" s="65" customFormat="1" ht="12.75">
      <c r="D287" s="65" t="s">
        <v>196</v>
      </c>
      <c r="H287" s="65">
        <v>2250</v>
      </c>
      <c r="I287" s="65">
        <v>0</v>
      </c>
      <c r="K287" s="69">
        <f>N172/H287</f>
        <v>0.09244444444444444</v>
      </c>
    </row>
    <row r="288" spans="4:11" s="65" customFormat="1" ht="12.75">
      <c r="D288" s="65" t="s">
        <v>198</v>
      </c>
      <c r="H288" s="65">
        <v>2200</v>
      </c>
      <c r="I288" s="65">
        <v>0</v>
      </c>
      <c r="K288" s="69">
        <f>N173/H288</f>
        <v>0</v>
      </c>
    </row>
    <row r="289" spans="5:11" s="65" customFormat="1" ht="12.75">
      <c r="E289" s="65" t="s">
        <v>201</v>
      </c>
      <c r="G289" s="65">
        <v>0</v>
      </c>
      <c r="I289" s="65">
        <v>0</v>
      </c>
      <c r="K289" s="69"/>
    </row>
    <row r="290" s="65" customFormat="1" ht="12.75">
      <c r="K290" s="69">
        <f>K152+K153+K154+K162+K163+K164+K169+K170+K171+K175+K176+K177+K183+K184+K185+K189+K190+K191+K197+K198+K199+K203+K204+K205+K211+K212+K213+K217+K218+K219+K226+K227+K228+K232+K233+K234+K238+K239+K240+K247+K248+K249+K254+K255+K256+K260+K261+K262+K271+K272+K273+K278+K279+K280+K286+K287+K288</f>
        <v>2.1378449720867865</v>
      </c>
    </row>
    <row r="291" spans="1:11" s="65" customFormat="1" ht="12.75">
      <c r="A291" s="65" t="s">
        <v>246</v>
      </c>
      <c r="B291" s="65" t="s">
        <v>247</v>
      </c>
      <c r="F291" s="65" t="s">
        <v>248</v>
      </c>
      <c r="I291" s="65">
        <v>1</v>
      </c>
      <c r="K291" s="69">
        <f>K290*1.12</f>
        <v>2.394386368737201</v>
      </c>
    </row>
    <row r="292" s="65" customFormat="1" ht="12.75">
      <c r="B292" s="65" t="s">
        <v>249</v>
      </c>
    </row>
    <row r="293" s="65" customFormat="1" ht="12.75">
      <c r="B293" s="65" t="s">
        <v>250</v>
      </c>
    </row>
    <row r="294" s="65" customFormat="1" ht="12.75"/>
    <row r="295" spans="1:9" s="65" customFormat="1" ht="12.75">
      <c r="A295" s="65" t="s">
        <v>251</v>
      </c>
      <c r="B295" s="65" t="s">
        <v>252</v>
      </c>
      <c r="I295" s="65">
        <v>2</v>
      </c>
    </row>
    <row r="296" spans="1:9" s="65" customFormat="1" ht="12.75">
      <c r="A296" s="65" t="s">
        <v>253</v>
      </c>
      <c r="B296" s="65" t="s">
        <v>254</v>
      </c>
      <c r="I296" s="65">
        <v>1</v>
      </c>
    </row>
    <row r="297" spans="1:9" s="65" customFormat="1" ht="12.75">
      <c r="A297" s="65" t="s">
        <v>255</v>
      </c>
      <c r="B297" s="65" t="s">
        <v>256</v>
      </c>
      <c r="I297" s="65">
        <v>1</v>
      </c>
    </row>
    <row r="298" spans="2:9" s="65" customFormat="1" ht="12.75">
      <c r="B298" s="65" t="s">
        <v>257</v>
      </c>
      <c r="I298" s="65">
        <v>5</v>
      </c>
    </row>
    <row r="299" s="65" customFormat="1" ht="12.75">
      <c r="F299" s="65" t="s">
        <v>258</v>
      </c>
    </row>
    <row r="300" spans="1:9" s="65" customFormat="1" ht="12.75">
      <c r="A300" s="65" t="s">
        <v>259</v>
      </c>
      <c r="B300" s="65" t="s">
        <v>260</v>
      </c>
      <c r="E300" s="65" t="s">
        <v>261</v>
      </c>
      <c r="G300" s="65">
        <v>2508</v>
      </c>
      <c r="H300" s="65">
        <v>1200</v>
      </c>
      <c r="I300" s="78">
        <f>G300/H300</f>
        <v>2.09</v>
      </c>
    </row>
    <row r="301" spans="5:9" s="65" customFormat="1" ht="12.75">
      <c r="E301" s="65" t="s">
        <v>262</v>
      </c>
      <c r="H301" s="65">
        <v>1650</v>
      </c>
      <c r="I301" s="78">
        <f>G301/H301</f>
        <v>0</v>
      </c>
    </row>
    <row r="302" spans="5:9" s="65" customFormat="1" ht="12.75">
      <c r="E302" s="65" t="s">
        <v>263</v>
      </c>
      <c r="G302" s="65">
        <v>4570</v>
      </c>
      <c r="H302" s="65">
        <v>9000</v>
      </c>
      <c r="I302" s="78">
        <f>G302/H302</f>
        <v>0.5077777777777778</v>
      </c>
    </row>
    <row r="303" spans="3:9" s="65" customFormat="1" ht="12.75">
      <c r="C303" s="65" t="s">
        <v>201</v>
      </c>
      <c r="G303" s="65">
        <f>G300+G302</f>
        <v>7078</v>
      </c>
      <c r="I303" s="78">
        <f>I300+I301+I302</f>
        <v>2.5977777777777775</v>
      </c>
    </row>
    <row r="304" spans="6:9" s="65" customFormat="1" ht="12.75">
      <c r="F304" s="65" t="s">
        <v>258</v>
      </c>
      <c r="I304" s="78"/>
    </row>
    <row r="305" spans="1:9" s="65" customFormat="1" ht="12.75">
      <c r="A305" s="65" t="s">
        <v>264</v>
      </c>
      <c r="B305" s="65" t="s">
        <v>265</v>
      </c>
      <c r="E305" s="65" t="s">
        <v>266</v>
      </c>
      <c r="H305" s="65">
        <v>800</v>
      </c>
      <c r="I305" s="78">
        <f>G305/H305</f>
        <v>0</v>
      </c>
    </row>
    <row r="306" spans="2:9" s="65" customFormat="1" ht="12.75">
      <c r="B306" s="65" t="s">
        <v>267</v>
      </c>
      <c r="E306" s="65" t="s">
        <v>268</v>
      </c>
      <c r="G306" s="65">
        <v>1899</v>
      </c>
      <c r="H306" s="65">
        <v>960</v>
      </c>
      <c r="I306" s="78">
        <f>G306/H306</f>
        <v>1.978125</v>
      </c>
    </row>
    <row r="307" spans="5:9" s="65" customFormat="1" ht="12.75">
      <c r="E307" s="65" t="s">
        <v>269</v>
      </c>
      <c r="I307" s="78"/>
    </row>
    <row r="308" spans="3:9" s="65" customFormat="1" ht="12.75">
      <c r="C308" s="65" t="s">
        <v>201</v>
      </c>
      <c r="G308" s="65">
        <f>G305+G306+G307</f>
        <v>1899</v>
      </c>
      <c r="I308" s="78">
        <f>I305+I306</f>
        <v>1.978125</v>
      </c>
    </row>
    <row r="309" spans="6:9" s="65" customFormat="1" ht="12.75">
      <c r="F309" s="65" t="s">
        <v>270</v>
      </c>
      <c r="I309" s="78"/>
    </row>
    <row r="310" spans="1:9" s="65" customFormat="1" ht="12.75">
      <c r="A310" s="65" t="s">
        <v>271</v>
      </c>
      <c r="B310" s="65" t="s">
        <v>272</v>
      </c>
      <c r="E310" s="65" t="s">
        <v>273</v>
      </c>
      <c r="H310" s="65">
        <v>500</v>
      </c>
      <c r="I310" s="78">
        <f>G310/H310</f>
        <v>0</v>
      </c>
    </row>
    <row r="311" spans="5:9" s="65" customFormat="1" ht="12.75">
      <c r="E311" s="65" t="s">
        <v>274</v>
      </c>
      <c r="H311" s="65">
        <v>700</v>
      </c>
      <c r="I311" s="78">
        <f>G311/H311</f>
        <v>0</v>
      </c>
    </row>
    <row r="312" spans="5:9" s="65" customFormat="1" ht="12.75">
      <c r="E312" s="65" t="s">
        <v>275</v>
      </c>
      <c r="I312" s="78"/>
    </row>
    <row r="313" spans="3:9" s="65" customFormat="1" ht="12.75">
      <c r="C313" s="65" t="s">
        <v>201</v>
      </c>
      <c r="G313" s="65">
        <v>0</v>
      </c>
      <c r="I313" s="78">
        <f>I310+I311</f>
        <v>0</v>
      </c>
    </row>
    <row r="314" spans="1:2" s="65" customFormat="1" ht="12.75">
      <c r="A314" s="65" t="s">
        <v>276</v>
      </c>
      <c r="B314" s="65" t="s">
        <v>277</v>
      </c>
    </row>
    <row r="315" spans="2:9" s="65" customFormat="1" ht="12.75">
      <c r="B315" s="65" t="s">
        <v>278</v>
      </c>
      <c r="I315" s="65">
        <v>2</v>
      </c>
    </row>
  </sheetData>
  <sheetProtection/>
  <mergeCells count="50">
    <mergeCell ref="A122:D122"/>
    <mergeCell ref="C103:I103"/>
    <mergeCell ref="A112:G112"/>
    <mergeCell ref="A116:E116"/>
    <mergeCell ref="A118:G118"/>
    <mergeCell ref="A81:G81"/>
    <mergeCell ref="A82:D82"/>
    <mergeCell ref="E82:G82"/>
    <mergeCell ref="A83:E83"/>
    <mergeCell ref="A67:G67"/>
    <mergeCell ref="A69:D69"/>
    <mergeCell ref="A70:F70"/>
    <mergeCell ref="A73:E73"/>
    <mergeCell ref="C77:D77"/>
    <mergeCell ref="A80:F80"/>
    <mergeCell ref="A50:G50"/>
    <mergeCell ref="A51:G51"/>
    <mergeCell ref="A60:F60"/>
    <mergeCell ref="A64:G64"/>
    <mergeCell ref="A65:E65"/>
    <mergeCell ref="A66:G66"/>
    <mergeCell ref="A41:G41"/>
    <mergeCell ref="A42:G42"/>
    <mergeCell ref="A43:F43"/>
    <mergeCell ref="A44:F44"/>
    <mergeCell ref="A48:F48"/>
    <mergeCell ref="A49:F49"/>
    <mergeCell ref="A35:G35"/>
    <mergeCell ref="A36:G36"/>
    <mergeCell ref="A37:D37"/>
    <mergeCell ref="A38:G38"/>
    <mergeCell ref="A39:G39"/>
    <mergeCell ref="A40:G40"/>
    <mergeCell ref="A27:G27"/>
    <mergeCell ref="A28:G28"/>
    <mergeCell ref="A30:E30"/>
    <mergeCell ref="A32:G32"/>
    <mergeCell ref="A33:G33"/>
    <mergeCell ref="A34:G34"/>
    <mergeCell ref="A18:F18"/>
    <mergeCell ref="A19:F19"/>
    <mergeCell ref="A20:F20"/>
    <mergeCell ref="A24:F24"/>
    <mergeCell ref="A25:G25"/>
    <mergeCell ref="A26:G26"/>
    <mergeCell ref="A1:K1"/>
    <mergeCell ref="A2:K2"/>
    <mergeCell ref="A4:K5"/>
    <mergeCell ref="A6:K6"/>
    <mergeCell ref="A14:G14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1:L12 L86 N85:N86 H112 K112 H118 H126" evalError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Q313"/>
  <sheetViews>
    <sheetView zoomScalePageLayoutView="0" workbookViewId="0" topLeftCell="A1">
      <selection activeCell="A53" sqref="A53:IV53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57421875" style="6" customWidth="1"/>
    <col min="12" max="12" width="13.421875" style="65" customWidth="1"/>
    <col min="13" max="17" width="9.140625" style="65" customWidth="1"/>
    <col min="18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761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9.11*1.042</f>
        <v>9.49262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65">
        <f>L6*4%</f>
        <v>0.3797048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7" s="9" customFormat="1" ht="15.75">
      <c r="A12" s="11" t="s">
        <v>69</v>
      </c>
      <c r="B12" s="11"/>
      <c r="C12" s="12"/>
      <c r="D12" s="11"/>
      <c r="E12" s="9">
        <v>25797.13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  <c r="Q12" s="67"/>
    </row>
    <row r="13" spans="1:17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  <c r="Q13" s="67"/>
    </row>
    <row r="14" spans="3:17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  <c r="Q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K17+K31+K47+K60+K67+K77</f>
        <v>24335.63139445854</v>
      </c>
      <c r="L15" s="68"/>
      <c r="M15" s="65" t="s">
        <v>73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74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H19+H21+H22+H25+H27+H28+H29+H20</f>
        <v>5418.055022314911</v>
      </c>
      <c r="M17" s="65" t="s">
        <v>76</v>
      </c>
      <c r="O17" s="69">
        <f>I301</f>
        <v>0.6904141414141414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I306</f>
        <v>0.345625</v>
      </c>
    </row>
    <row r="19" spans="1:15" ht="12.75">
      <c r="A19" s="113" t="s">
        <v>762</v>
      </c>
      <c r="B19" s="113"/>
      <c r="C19" s="113"/>
      <c r="D19" s="113"/>
      <c r="E19" s="113"/>
      <c r="F19" s="113"/>
      <c r="G19" s="22"/>
      <c r="H19" s="23">
        <f>O17*2600*1.75*1.07</f>
        <v>3361.281247474747</v>
      </c>
      <c r="I19" s="22"/>
      <c r="J19" s="22"/>
      <c r="K19" s="23"/>
      <c r="M19" s="65" t="s">
        <v>80</v>
      </c>
      <c r="O19" s="69"/>
    </row>
    <row r="20" spans="1:15" ht="12.75">
      <c r="A20" s="24" t="s">
        <v>282</v>
      </c>
      <c r="B20" s="24"/>
      <c r="C20" s="24"/>
      <c r="D20" s="24"/>
      <c r="E20" s="24"/>
      <c r="F20" s="24"/>
      <c r="G20" s="22"/>
      <c r="H20" s="23">
        <f>O18*2203*1.3*1.07</f>
        <v>1059.123918125</v>
      </c>
      <c r="I20" s="22"/>
      <c r="J20" s="22"/>
      <c r="K20" s="23"/>
      <c r="M20" s="65" t="s">
        <v>82</v>
      </c>
      <c r="O20" s="69">
        <v>2717.6</v>
      </c>
    </row>
    <row r="21" spans="1:15" ht="12.75" hidden="1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83</v>
      </c>
      <c r="O21" s="65">
        <v>137</v>
      </c>
    </row>
    <row r="22" spans="1:16" ht="12.75">
      <c r="A22" s="23">
        <f>H19+H20</f>
        <v>4420.405165599747</v>
      </c>
      <c r="B22" s="22" t="s">
        <v>84</v>
      </c>
      <c r="C22" s="22"/>
      <c r="D22" s="22"/>
      <c r="E22" s="22"/>
      <c r="F22" s="22"/>
      <c r="G22" s="22"/>
      <c r="H22" s="23">
        <f>A22*0.142</f>
        <v>627.6975335151641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 customHeight="1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1" ht="12.75" hidden="1">
      <c r="A24" s="22"/>
      <c r="B24" s="22"/>
      <c r="C24" s="22"/>
      <c r="D24" s="22"/>
      <c r="E24" s="22"/>
      <c r="F24" s="22"/>
      <c r="G24" s="22"/>
      <c r="H24" s="23"/>
      <c r="I24" s="22"/>
      <c r="J24" s="22"/>
      <c r="K24" s="23"/>
    </row>
    <row r="25" spans="1:16" ht="12.75">
      <c r="A25" s="113" t="s">
        <v>763</v>
      </c>
      <c r="B25" s="113"/>
      <c r="C25" s="113"/>
      <c r="D25" s="113"/>
      <c r="E25" s="113"/>
      <c r="F25" s="113"/>
      <c r="G25" s="22"/>
      <c r="H25" s="23">
        <f>0.057*O20</f>
        <v>154.9032</v>
      </c>
      <c r="I25" s="23"/>
      <c r="J25" s="22"/>
      <c r="K25" s="23"/>
      <c r="N25" s="65">
        <v>10</v>
      </c>
      <c r="P25" s="65">
        <f>O25/2</f>
        <v>0</v>
      </c>
    </row>
    <row r="26" spans="1:11" ht="12.75">
      <c r="A26" s="24" t="s">
        <v>764</v>
      </c>
      <c r="B26" s="24"/>
      <c r="C26" s="24"/>
      <c r="D26" s="24"/>
      <c r="E26" s="24"/>
      <c r="F26" s="24"/>
      <c r="G26" s="22"/>
      <c r="H26" s="23">
        <f>O20*0.0085</f>
        <v>23.099600000000002</v>
      </c>
      <c r="I26" s="23"/>
      <c r="J26" s="22"/>
      <c r="K26" s="23"/>
    </row>
    <row r="27" spans="1:13" ht="12.75">
      <c r="A27" s="113" t="s">
        <v>765</v>
      </c>
      <c r="B27" s="113"/>
      <c r="C27" s="113"/>
      <c r="D27" s="113"/>
      <c r="E27" s="113"/>
      <c r="F27" s="113"/>
      <c r="G27" s="113"/>
      <c r="H27" s="23">
        <f>0.005*O20</f>
        <v>13.588</v>
      </c>
      <c r="I27" s="22"/>
      <c r="J27" s="22"/>
      <c r="K27" s="23"/>
      <c r="M27" s="65" t="s">
        <v>90</v>
      </c>
    </row>
    <row r="28" spans="1:15" ht="12.75">
      <c r="A28" s="113" t="s">
        <v>766</v>
      </c>
      <c r="B28" s="113"/>
      <c r="C28" s="113"/>
      <c r="D28" s="113"/>
      <c r="E28" s="113"/>
      <c r="F28" s="113"/>
      <c r="G28" s="113"/>
      <c r="H28" s="23">
        <f>O20*0.017</f>
        <v>46.199200000000005</v>
      </c>
      <c r="I28" s="22"/>
      <c r="J28" s="22">
        <v>13606.82</v>
      </c>
      <c r="K28" s="23"/>
      <c r="M28" s="65" t="s">
        <v>92</v>
      </c>
      <c r="O28" s="65">
        <v>24</v>
      </c>
    </row>
    <row r="29" spans="1:15" ht="12.75">
      <c r="A29" s="113" t="s">
        <v>93</v>
      </c>
      <c r="B29" s="113"/>
      <c r="C29" s="113"/>
      <c r="D29" s="113"/>
      <c r="E29" s="113"/>
      <c r="F29" s="113"/>
      <c r="G29" s="113"/>
      <c r="H29" s="23">
        <f>0.054*O20*1.058</f>
        <v>155.26192319999998</v>
      </c>
      <c r="I29" s="22"/>
      <c r="J29" s="22"/>
      <c r="K29" s="23"/>
      <c r="M29" s="65" t="s">
        <v>94</v>
      </c>
      <c r="O29" s="65">
        <v>875</v>
      </c>
    </row>
    <row r="30" spans="1:11" ht="12.75">
      <c r="A30" s="24"/>
      <c r="B30" s="24"/>
      <c r="C30" s="24"/>
      <c r="D30" s="24"/>
      <c r="E30" s="24"/>
      <c r="F30" s="24"/>
      <c r="G30" s="24"/>
      <c r="H30" s="23"/>
      <c r="I30" s="22"/>
      <c r="J30" s="22"/>
      <c r="K30" s="23"/>
    </row>
    <row r="31" spans="1:15" ht="15.75">
      <c r="A31" s="110" t="s">
        <v>95</v>
      </c>
      <c r="B31" s="110"/>
      <c r="C31" s="110"/>
      <c r="D31" s="110"/>
      <c r="E31" s="110"/>
      <c r="F31" s="20"/>
      <c r="G31" s="20"/>
      <c r="H31" s="27"/>
      <c r="I31" s="20"/>
      <c r="J31" s="20"/>
      <c r="K31" s="21">
        <f>H33+H34+H35+H36+H37+H38+H39+H41+H42+H43+H44+K42+H40+H45</f>
        <v>5593.390823333332</v>
      </c>
      <c r="M31" s="65" t="s">
        <v>96</v>
      </c>
      <c r="O31" s="69">
        <f>K289</f>
        <v>0.7651998039286525</v>
      </c>
    </row>
    <row r="32" spans="1:15" ht="12.75">
      <c r="A32" s="22"/>
      <c r="B32" s="22" t="s">
        <v>64</v>
      </c>
      <c r="C32" s="22"/>
      <c r="D32" s="22"/>
      <c r="E32" s="22"/>
      <c r="F32" s="22"/>
      <c r="G32" s="22"/>
      <c r="H32" s="28"/>
      <c r="I32" s="22"/>
      <c r="J32" s="22"/>
      <c r="K32" s="29"/>
      <c r="M32" s="65" t="s">
        <v>97</v>
      </c>
      <c r="O32" s="69">
        <f>O21*1.5/12/11.25</f>
        <v>1.5222222222222221</v>
      </c>
    </row>
    <row r="33" spans="1:11" ht="12.75">
      <c r="A33" s="113" t="s">
        <v>767</v>
      </c>
      <c r="B33" s="113"/>
      <c r="C33" s="113"/>
      <c r="D33" s="113"/>
      <c r="E33" s="113"/>
      <c r="F33" s="113"/>
      <c r="G33" s="113"/>
      <c r="H33" s="28">
        <f>(O21*1.5)/12*90.3*1.058</f>
        <v>1636.0779750000002</v>
      </c>
      <c r="I33" s="22"/>
      <c r="J33" s="22"/>
      <c r="K33" s="29"/>
    </row>
    <row r="34" spans="1:11" ht="12.75">
      <c r="A34" s="113" t="s">
        <v>768</v>
      </c>
      <c r="B34" s="113"/>
      <c r="C34" s="113"/>
      <c r="D34" s="113"/>
      <c r="E34" s="113"/>
      <c r="F34" s="113"/>
      <c r="G34" s="113"/>
      <c r="H34" s="28">
        <f>O21*1.5*33.1/12*1.058</f>
        <v>599.714075</v>
      </c>
      <c r="I34" s="22"/>
      <c r="J34" s="22"/>
      <c r="K34" s="29"/>
    </row>
    <row r="35" spans="1:11" ht="12.75">
      <c r="A35" s="113" t="s">
        <v>769</v>
      </c>
      <c r="B35" s="113"/>
      <c r="C35" s="113"/>
      <c r="D35" s="113"/>
      <c r="E35" s="113"/>
      <c r="F35" s="113"/>
      <c r="G35" s="113"/>
      <c r="H35" s="28">
        <f>O29*2.48</f>
        <v>2170</v>
      </c>
      <c r="I35" s="22"/>
      <c r="J35" s="22"/>
      <c r="K35" s="29"/>
    </row>
    <row r="36" spans="1:11" ht="12.75">
      <c r="A36" s="113" t="s">
        <v>770</v>
      </c>
      <c r="B36" s="113"/>
      <c r="C36" s="113"/>
      <c r="D36" s="113"/>
      <c r="E36" s="113"/>
      <c r="F36" s="113"/>
      <c r="G36" s="113"/>
      <c r="H36" s="28">
        <f>O20*0.0277</f>
        <v>75.27752</v>
      </c>
      <c r="I36" s="22"/>
      <c r="J36" s="22"/>
      <c r="K36" s="29"/>
    </row>
    <row r="37" spans="1:11" ht="12.75">
      <c r="A37" s="113" t="s">
        <v>771</v>
      </c>
      <c r="B37" s="113"/>
      <c r="C37" s="113"/>
      <c r="D37" s="113"/>
      <c r="E37" s="113"/>
      <c r="F37" s="113"/>
      <c r="G37" s="113"/>
      <c r="H37" s="28">
        <f>O20*0.0027</f>
        <v>7.3375200000000005</v>
      </c>
      <c r="I37" s="22"/>
      <c r="J37" s="22"/>
      <c r="K37" s="29"/>
    </row>
    <row r="38" spans="1:11" ht="12.75">
      <c r="A38" s="113" t="s">
        <v>292</v>
      </c>
      <c r="B38" s="113"/>
      <c r="C38" s="113"/>
      <c r="D38" s="113"/>
      <c r="E38" s="113"/>
      <c r="F38" s="113"/>
      <c r="G38" s="113"/>
      <c r="H38" s="28">
        <f>O28*4.81/12</f>
        <v>9.62</v>
      </c>
      <c r="I38" s="22"/>
      <c r="J38" s="22"/>
      <c r="K38" s="29"/>
    </row>
    <row r="39" spans="1:12" ht="12.75">
      <c r="A39" s="113" t="s">
        <v>293</v>
      </c>
      <c r="B39" s="113"/>
      <c r="C39" s="113"/>
      <c r="D39" s="113"/>
      <c r="E39" s="113"/>
      <c r="F39" s="113"/>
      <c r="G39" s="113"/>
      <c r="H39" s="28">
        <f>60*80/12/3</f>
        <v>133.33333333333334</v>
      </c>
      <c r="I39" s="22"/>
      <c r="J39" s="22"/>
      <c r="K39" s="29"/>
      <c r="L39" s="65">
        <f>119*80*1.274/2/12</f>
        <v>505.3533333333333</v>
      </c>
    </row>
    <row r="40" spans="1:11" ht="12.75">
      <c r="A40" s="30" t="s">
        <v>772</v>
      </c>
      <c r="B40" s="30"/>
      <c r="C40" s="30"/>
      <c r="D40" s="30"/>
      <c r="E40" s="30"/>
      <c r="F40" s="30"/>
      <c r="G40" s="30"/>
      <c r="H40" s="31">
        <f>O20*0.216</f>
        <v>587.0015999999999</v>
      </c>
      <c r="I40" s="22"/>
      <c r="J40" s="22"/>
      <c r="K40" s="29"/>
    </row>
    <row r="41" spans="1:11" ht="12.75">
      <c r="A41" s="113" t="s">
        <v>773</v>
      </c>
      <c r="B41" s="113"/>
      <c r="C41" s="113"/>
      <c r="D41" s="113"/>
      <c r="E41" s="113"/>
      <c r="F41" s="113"/>
      <c r="G41" s="113"/>
      <c r="H41" s="28">
        <f>O20*0.027</f>
        <v>73.37519999999999</v>
      </c>
      <c r="I41" s="22"/>
      <c r="J41" s="32"/>
      <c r="K41" s="29"/>
    </row>
    <row r="42" spans="1:11" ht="12.75">
      <c r="A42" s="113" t="s">
        <v>774</v>
      </c>
      <c r="B42" s="113"/>
      <c r="C42" s="113"/>
      <c r="D42" s="113"/>
      <c r="E42" s="113"/>
      <c r="F42" s="113"/>
      <c r="G42" s="113"/>
      <c r="H42" s="28">
        <f>O20*0.022</f>
        <v>59.78719999999999</v>
      </c>
      <c r="I42" s="22"/>
      <c r="J42" s="22"/>
      <c r="K42" s="29"/>
    </row>
    <row r="43" spans="1:11" ht="12.75">
      <c r="A43" s="113" t="s">
        <v>775</v>
      </c>
      <c r="B43" s="113"/>
      <c r="C43" s="113"/>
      <c r="D43" s="113"/>
      <c r="E43" s="113"/>
      <c r="F43" s="113"/>
      <c r="G43" s="113"/>
      <c r="H43" s="28">
        <f>O20*0.022</f>
        <v>59.78719999999999</v>
      </c>
      <c r="I43" s="22"/>
      <c r="J43" s="22"/>
      <c r="K43" s="29"/>
    </row>
    <row r="44" spans="1:11" ht="12.75">
      <c r="A44" s="113" t="s">
        <v>776</v>
      </c>
      <c r="B44" s="113"/>
      <c r="C44" s="113"/>
      <c r="D44" s="113"/>
      <c r="E44" s="113"/>
      <c r="F44" s="113"/>
      <c r="G44" s="24"/>
      <c r="H44" s="28">
        <f>O20*0.053</f>
        <v>144.03279999999998</v>
      </c>
      <c r="I44" s="22"/>
      <c r="J44" s="22"/>
      <c r="K44" s="29"/>
    </row>
    <row r="45" spans="1:11" ht="12.75">
      <c r="A45" s="113" t="s">
        <v>777</v>
      </c>
      <c r="B45" s="113"/>
      <c r="C45" s="113"/>
      <c r="D45" s="113"/>
      <c r="E45" s="113"/>
      <c r="F45" s="113"/>
      <c r="G45" s="24"/>
      <c r="H45" s="28">
        <f>O20*0.014</f>
        <v>38.0464</v>
      </c>
      <c r="I45" s="22"/>
      <c r="J45" s="22"/>
      <c r="K45" s="29"/>
    </row>
    <row r="46" spans="1:11" ht="12.75">
      <c r="A46" s="24"/>
      <c r="B46" s="24"/>
      <c r="C46" s="24"/>
      <c r="D46" s="24"/>
      <c r="E46" s="24"/>
      <c r="F46" s="24"/>
      <c r="G46" s="24"/>
      <c r="H46" s="28"/>
      <c r="I46" s="22"/>
      <c r="J46" s="22"/>
      <c r="K46" s="29"/>
    </row>
    <row r="47" spans="1:13" ht="15.75">
      <c r="A47" s="20" t="s">
        <v>111</v>
      </c>
      <c r="B47" s="20"/>
      <c r="C47" s="20"/>
      <c r="D47" s="20"/>
      <c r="E47" s="20"/>
      <c r="F47" s="20"/>
      <c r="G47" s="20"/>
      <c r="H47" s="27"/>
      <c r="I47" s="20"/>
      <c r="J47" s="20"/>
      <c r="K47" s="21">
        <f>H50+H52+H53+H54+H55+H56+H57+H58</f>
        <v>8749.377708810298</v>
      </c>
      <c r="M47" s="71" t="e">
        <f>K47/309084*#REF!</f>
        <v>#REF!</v>
      </c>
    </row>
    <row r="48" spans="1:11" ht="12.75">
      <c r="A48" s="22"/>
      <c r="B48" s="22" t="s">
        <v>64</v>
      </c>
      <c r="C48" s="22"/>
      <c r="D48" s="22"/>
      <c r="E48" s="22"/>
      <c r="F48" s="22"/>
      <c r="G48" s="22"/>
      <c r="H48" s="28"/>
      <c r="I48" s="22"/>
      <c r="J48" s="22"/>
      <c r="K48" s="29"/>
    </row>
    <row r="49" spans="1:11" ht="12.75">
      <c r="A49" s="33" t="s">
        <v>112</v>
      </c>
      <c r="B49" s="33"/>
      <c r="C49" s="33"/>
      <c r="D49" s="33"/>
      <c r="E49" s="33"/>
      <c r="F49" s="33"/>
      <c r="G49" s="33"/>
      <c r="H49" s="34"/>
      <c r="I49" s="33"/>
      <c r="J49" s="33"/>
      <c r="K49" s="35"/>
    </row>
    <row r="50" spans="1:11" ht="12.75">
      <c r="A50" s="111" t="s">
        <v>300</v>
      </c>
      <c r="B50" s="111"/>
      <c r="C50" s="111"/>
      <c r="D50" s="111"/>
      <c r="E50" s="111"/>
      <c r="F50" s="111"/>
      <c r="G50" s="36"/>
      <c r="H50" s="37">
        <f>K289*24.48*165.1*1.5*1.07</f>
        <v>4963.7325527235525</v>
      </c>
      <c r="I50" s="38"/>
      <c r="J50" s="38"/>
      <c r="K50" s="35"/>
    </row>
    <row r="51" spans="1:11" ht="12.75">
      <c r="A51" s="33" t="s">
        <v>114</v>
      </c>
      <c r="B51" s="33"/>
      <c r="C51" s="33"/>
      <c r="D51" s="33"/>
      <c r="E51" s="33"/>
      <c r="F51" s="33"/>
      <c r="G51" s="33"/>
      <c r="H51" s="34"/>
      <c r="I51" s="33"/>
      <c r="J51" s="33"/>
      <c r="K51" s="35"/>
    </row>
    <row r="52" spans="1:11" ht="12.75">
      <c r="A52" s="39">
        <f>H50</f>
        <v>4963.7325527235525</v>
      </c>
      <c r="B52" s="36" t="s">
        <v>115</v>
      </c>
      <c r="C52" s="36"/>
      <c r="D52" s="36"/>
      <c r="E52" s="36"/>
      <c r="F52" s="36"/>
      <c r="G52" s="38"/>
      <c r="H52" s="37">
        <f>H50*14.2%</f>
        <v>704.8500224867444</v>
      </c>
      <c r="I52" s="38"/>
      <c r="J52" s="38"/>
      <c r="K52" s="35"/>
    </row>
    <row r="53" spans="1:11" ht="12.75">
      <c r="A53" s="30" t="s">
        <v>86</v>
      </c>
      <c r="B53" s="30"/>
      <c r="C53" s="30"/>
      <c r="D53" s="30"/>
      <c r="E53" s="30"/>
      <c r="F53" s="40"/>
      <c r="G53" s="40"/>
      <c r="H53" s="37">
        <f>0.04*O20</f>
        <v>108.704</v>
      </c>
      <c r="I53" s="38"/>
      <c r="J53" s="38"/>
      <c r="K53" s="35"/>
    </row>
    <row r="54" spans="1:12" ht="12.75">
      <c r="A54" s="108" t="s">
        <v>116</v>
      </c>
      <c r="B54" s="108"/>
      <c r="C54" s="108"/>
      <c r="D54" s="108"/>
      <c r="E54" s="108"/>
      <c r="F54" s="108"/>
      <c r="G54" s="108"/>
      <c r="H54" s="37">
        <v>2670</v>
      </c>
      <c r="I54" s="38"/>
      <c r="J54" s="38"/>
      <c r="K54" s="35"/>
      <c r="L54" s="65">
        <f>0.97*O20</f>
        <v>2636.0719999999997</v>
      </c>
    </row>
    <row r="55" spans="1:11" ht="12.75">
      <c r="A55" s="90" t="s">
        <v>778</v>
      </c>
      <c r="B55" s="90"/>
      <c r="C55" s="90"/>
      <c r="D55" s="90"/>
      <c r="E55" s="90"/>
      <c r="F55" s="30"/>
      <c r="G55" s="30"/>
      <c r="H55" s="37">
        <f>0.0037*O20</f>
        <v>10.05512</v>
      </c>
      <c r="I55" s="38"/>
      <c r="J55" s="38"/>
      <c r="K55" s="35"/>
    </row>
    <row r="56" spans="1:12" ht="12.75">
      <c r="A56" s="108" t="s">
        <v>779</v>
      </c>
      <c r="B56" s="108"/>
      <c r="C56" s="108"/>
      <c r="D56" s="108"/>
      <c r="E56" s="108"/>
      <c r="F56" s="108"/>
      <c r="G56" s="108"/>
      <c r="H56" s="37">
        <f>O20*0.082</f>
        <v>222.8432</v>
      </c>
      <c r="I56" s="38"/>
      <c r="J56" s="38"/>
      <c r="K56" s="35"/>
      <c r="L56" s="69"/>
    </row>
    <row r="57" spans="1:13" ht="12.75">
      <c r="A57" s="108" t="s">
        <v>780</v>
      </c>
      <c r="B57" s="108"/>
      <c r="C57" s="108"/>
      <c r="D57" s="108"/>
      <c r="E57" s="108"/>
      <c r="F57" s="108"/>
      <c r="G57" s="108"/>
      <c r="H57" s="31">
        <f>O20*0.023*1.107</f>
        <v>69.1928136</v>
      </c>
      <c r="I57" s="33"/>
      <c r="J57" s="33"/>
      <c r="K57" s="35"/>
      <c r="M57" s="65" t="e">
        <f>36646.37/309083*#REF!</f>
        <v>#REF!</v>
      </c>
    </row>
    <row r="58" spans="1:11" ht="12.75">
      <c r="A58" s="41" t="s">
        <v>120</v>
      </c>
      <c r="B58" s="41"/>
      <c r="C58" s="41"/>
      <c r="D58" s="41"/>
      <c r="E58" s="40"/>
      <c r="F58" s="40"/>
      <c r="G58" s="40"/>
      <c r="H58" s="31"/>
      <c r="I58" s="40"/>
      <c r="J58" s="40"/>
      <c r="K58" s="35"/>
    </row>
    <row r="59" spans="1:11" ht="12.75">
      <c r="A59" s="41"/>
      <c r="B59" s="41"/>
      <c r="C59" s="41"/>
      <c r="D59" s="41"/>
      <c r="E59" s="40"/>
      <c r="F59" s="40"/>
      <c r="G59" s="40"/>
      <c r="H59" s="31"/>
      <c r="I59" s="40"/>
      <c r="J59" s="40"/>
      <c r="K59" s="35"/>
    </row>
    <row r="60" spans="1:13" ht="15.75">
      <c r="A60" s="110" t="s">
        <v>121</v>
      </c>
      <c r="B60" s="110"/>
      <c r="C60" s="110"/>
      <c r="D60" s="110"/>
      <c r="E60" s="42"/>
      <c r="F60" s="42"/>
      <c r="G60" s="20"/>
      <c r="H60" s="27"/>
      <c r="I60" s="20"/>
      <c r="J60" s="20"/>
      <c r="K60" s="21">
        <f>H62+H63+H64+H65</f>
        <v>1964.5530399999998</v>
      </c>
      <c r="M60" s="72" t="e">
        <f>51932.37/301083*#REF!</f>
        <v>#REF!</v>
      </c>
    </row>
    <row r="61" spans="1:11" ht="12.75">
      <c r="A61" s="111" t="s">
        <v>122</v>
      </c>
      <c r="B61" s="111"/>
      <c r="C61" s="111"/>
      <c r="D61" s="111"/>
      <c r="E61" s="111"/>
      <c r="F61" s="111"/>
      <c r="G61" s="36"/>
      <c r="H61" s="37"/>
      <c r="I61" s="36"/>
      <c r="J61" s="36"/>
      <c r="K61" s="35"/>
    </row>
    <row r="62" spans="1:11" ht="12.75">
      <c r="A62" s="36" t="s">
        <v>781</v>
      </c>
      <c r="B62" s="36"/>
      <c r="C62" s="36"/>
      <c r="D62" s="36"/>
      <c r="E62" s="36"/>
      <c r="F62" s="36"/>
      <c r="G62" s="36"/>
      <c r="H62" s="37">
        <f>0.2227*O20</f>
        <v>605.20952</v>
      </c>
      <c r="I62" s="36"/>
      <c r="J62" s="36"/>
      <c r="K62" s="35"/>
    </row>
    <row r="63" spans="1:11" ht="12.75">
      <c r="A63" s="30" t="s">
        <v>782</v>
      </c>
      <c r="B63" s="43"/>
      <c r="C63" s="30"/>
      <c r="D63" s="30"/>
      <c r="E63" s="44"/>
      <c r="F63" s="38"/>
      <c r="G63" s="38"/>
      <c r="H63" s="37">
        <f>0.0257*O20</f>
        <v>69.84232</v>
      </c>
      <c r="I63" s="38"/>
      <c r="J63" s="38"/>
      <c r="K63" s="35"/>
    </row>
    <row r="64" spans="1:11" ht="12.75">
      <c r="A64" s="111" t="s">
        <v>783</v>
      </c>
      <c r="B64" s="111"/>
      <c r="C64" s="111"/>
      <c r="D64" s="111"/>
      <c r="E64" s="111"/>
      <c r="F64" s="38"/>
      <c r="G64" s="38"/>
      <c r="H64" s="37">
        <f>0.0945*O20</f>
        <v>256.8132</v>
      </c>
      <c r="I64" s="38"/>
      <c r="J64" s="38"/>
      <c r="K64" s="35"/>
    </row>
    <row r="65" spans="1:11" ht="12.75">
      <c r="A65" s="36" t="s">
        <v>784</v>
      </c>
      <c r="B65" s="36"/>
      <c r="C65" s="36"/>
      <c r="D65" s="36"/>
      <c r="E65" s="36"/>
      <c r="F65" s="38"/>
      <c r="G65" s="38"/>
      <c r="H65" s="37">
        <f>0.38*O20</f>
        <v>1032.6879999999999</v>
      </c>
      <c r="I65" s="38"/>
      <c r="J65" s="38"/>
      <c r="K65" s="45"/>
    </row>
    <row r="66" spans="1:11" ht="12.75">
      <c r="A66" s="30"/>
      <c r="B66" s="30"/>
      <c r="C66" s="30"/>
      <c r="D66" s="30"/>
      <c r="E66" s="38"/>
      <c r="F66" s="38"/>
      <c r="G66" s="38"/>
      <c r="H66" s="37"/>
      <c r="I66" s="38"/>
      <c r="J66" s="38"/>
      <c r="K66" s="35"/>
    </row>
    <row r="67" spans="1:13" ht="15.75">
      <c r="A67" s="26" t="s">
        <v>127</v>
      </c>
      <c r="B67" s="26"/>
      <c r="C67" s="26"/>
      <c r="D67" s="26"/>
      <c r="E67" s="26"/>
      <c r="F67" s="26"/>
      <c r="G67" s="26"/>
      <c r="H67" s="46"/>
      <c r="I67" s="20"/>
      <c r="J67" s="20"/>
      <c r="K67" s="21">
        <f>O20*0.94</f>
        <v>2554.544</v>
      </c>
      <c r="M67" s="71" t="e">
        <f>231179.9/309083*#REF!</f>
        <v>#REF!</v>
      </c>
    </row>
    <row r="68" spans="1:11" ht="15.75">
      <c r="A68" s="47"/>
      <c r="B68" s="47"/>
      <c r="C68" s="112" t="s">
        <v>64</v>
      </c>
      <c r="D68" s="112"/>
      <c r="E68" s="47"/>
      <c r="F68" s="47"/>
      <c r="G68" s="47"/>
      <c r="H68" s="48"/>
      <c r="I68" s="47"/>
      <c r="J68" s="47"/>
      <c r="K68" s="49"/>
    </row>
    <row r="69" spans="1:11" ht="12.75">
      <c r="A69" s="30" t="s">
        <v>128</v>
      </c>
      <c r="B69" s="30"/>
      <c r="C69" s="30"/>
      <c r="D69" s="30"/>
      <c r="E69" s="30"/>
      <c r="F69" s="30"/>
      <c r="G69" s="30"/>
      <c r="H69" s="37"/>
      <c r="I69" s="38"/>
      <c r="J69" s="38"/>
      <c r="K69" s="35"/>
    </row>
    <row r="70" spans="1:11" ht="12.75">
      <c r="A70" s="30" t="s">
        <v>129</v>
      </c>
      <c r="B70" s="43"/>
      <c r="C70" s="30"/>
      <c r="D70" s="30"/>
      <c r="E70" s="30"/>
      <c r="F70" s="44"/>
      <c r="G70" s="44"/>
      <c r="H70" s="37"/>
      <c r="I70" s="38"/>
      <c r="J70" s="38"/>
      <c r="K70" s="35"/>
    </row>
    <row r="71" spans="1:11" ht="12.75">
      <c r="A71" s="108" t="s">
        <v>130</v>
      </c>
      <c r="B71" s="108"/>
      <c r="C71" s="108"/>
      <c r="D71" s="108"/>
      <c r="E71" s="108"/>
      <c r="F71" s="108"/>
      <c r="G71" s="44"/>
      <c r="H71" s="37"/>
      <c r="I71" s="38"/>
      <c r="J71" s="38"/>
      <c r="K71" s="35"/>
    </row>
    <row r="72" spans="1:11" ht="12.75">
      <c r="A72" s="108" t="s">
        <v>131</v>
      </c>
      <c r="B72" s="108"/>
      <c r="C72" s="108"/>
      <c r="D72" s="108"/>
      <c r="E72" s="108"/>
      <c r="F72" s="108"/>
      <c r="G72" s="108"/>
      <c r="H72" s="37"/>
      <c r="I72" s="38"/>
      <c r="J72" s="38"/>
      <c r="K72" s="35"/>
    </row>
    <row r="73" spans="1:11" ht="12.75">
      <c r="A73" s="108" t="s">
        <v>132</v>
      </c>
      <c r="B73" s="108"/>
      <c r="C73" s="108"/>
      <c r="D73" s="108"/>
      <c r="E73" s="109"/>
      <c r="F73" s="109"/>
      <c r="G73" s="109"/>
      <c r="H73" s="37"/>
      <c r="I73" s="38"/>
      <c r="J73" s="38"/>
      <c r="K73" s="35"/>
    </row>
    <row r="74" spans="1:11" ht="12.75">
      <c r="A74" s="108" t="s">
        <v>133</v>
      </c>
      <c r="B74" s="108"/>
      <c r="C74" s="108"/>
      <c r="D74" s="108"/>
      <c r="E74" s="108"/>
      <c r="F74" s="44"/>
      <c r="G74" s="44"/>
      <c r="H74" s="37"/>
      <c r="I74" s="38"/>
      <c r="J74" s="38"/>
      <c r="K74" s="35"/>
    </row>
    <row r="75" spans="1:11" ht="12.75">
      <c r="A75" s="44" t="s">
        <v>134</v>
      </c>
      <c r="B75" s="44"/>
      <c r="C75" s="44"/>
      <c r="D75" s="44"/>
      <c r="E75" s="44"/>
      <c r="F75" s="44"/>
      <c r="G75" s="44"/>
      <c r="H75" s="37"/>
      <c r="I75" s="38"/>
      <c r="J75" s="38"/>
      <c r="K75" s="35"/>
    </row>
    <row r="76" spans="1:11" ht="12.75">
      <c r="A76" s="22"/>
      <c r="B76" s="22"/>
      <c r="C76" s="22"/>
      <c r="D76" s="22"/>
      <c r="E76" s="22"/>
      <c r="F76" s="22"/>
      <c r="G76" s="22"/>
      <c r="H76" s="28"/>
      <c r="I76" s="22"/>
      <c r="J76" s="22"/>
      <c r="K76" s="29"/>
    </row>
    <row r="77" spans="1:13" ht="15.75">
      <c r="A77" s="20" t="s">
        <v>135</v>
      </c>
      <c r="B77" s="20"/>
      <c r="C77" s="20"/>
      <c r="D77" s="20"/>
      <c r="E77" s="20"/>
      <c r="F77" s="51"/>
      <c r="G77" s="51"/>
      <c r="H77" s="52"/>
      <c r="I77" s="51"/>
      <c r="J77" s="51"/>
      <c r="K77" s="21">
        <f>0.0205*O20</f>
        <v>55.7108</v>
      </c>
      <c r="L77" s="72" t="e">
        <f>K77/309084*#REF!</f>
        <v>#REF!</v>
      </c>
      <c r="M77" s="72" t="e">
        <f>L77/309084*#REF!</f>
        <v>#REF!</v>
      </c>
    </row>
    <row r="78" spans="1:13" ht="15.75">
      <c r="A78" s="53"/>
      <c r="B78" s="54"/>
      <c r="C78" s="54"/>
      <c r="D78" s="54"/>
      <c r="E78" s="54"/>
      <c r="F78" s="53"/>
      <c r="G78" s="53"/>
      <c r="H78" s="55"/>
      <c r="I78" s="53"/>
      <c r="J78" s="53"/>
      <c r="K78" s="56"/>
      <c r="L78" s="72"/>
      <c r="M78" s="72"/>
    </row>
    <row r="79" spans="1:11" ht="15.75">
      <c r="A79" s="57" t="s">
        <v>136</v>
      </c>
      <c r="B79" s="57"/>
      <c r="C79" s="57"/>
      <c r="D79" s="58"/>
      <c r="E79" s="58"/>
      <c r="F79" s="58"/>
      <c r="G79" s="58"/>
      <c r="H79" s="59"/>
      <c r="I79" s="58"/>
      <c r="J79" s="58"/>
      <c r="K79" s="60">
        <f>K15*6%</f>
        <v>1460.1378836675124</v>
      </c>
    </row>
    <row r="80" spans="1:11" ht="15">
      <c r="A80" s="58"/>
      <c r="B80" s="61"/>
      <c r="C80" s="61"/>
      <c r="D80" s="61"/>
      <c r="E80" s="61"/>
      <c r="F80" s="61"/>
      <c r="G80" s="61"/>
      <c r="H80" s="62"/>
      <c r="I80" s="58"/>
      <c r="J80" s="58"/>
      <c r="K80" s="58"/>
    </row>
    <row r="81" spans="1:11" ht="15.75">
      <c r="A81" s="63" t="s">
        <v>137</v>
      </c>
      <c r="B81" s="63"/>
      <c r="C81" s="63"/>
      <c r="D81" s="63"/>
      <c r="E81" s="63"/>
      <c r="F81" s="63"/>
      <c r="G81" s="63"/>
      <c r="H81" s="63"/>
      <c r="I81" s="63"/>
      <c r="J81" s="63"/>
      <c r="K81" s="64">
        <f>K79+K15</f>
        <v>25795.769278126056</v>
      </c>
    </row>
    <row r="82" spans="1:11" ht="15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4"/>
    </row>
    <row r="83" spans="1:11" ht="15.75">
      <c r="A83" s="63" t="s">
        <v>138</v>
      </c>
      <c r="B83" s="63"/>
      <c r="C83" s="63"/>
      <c r="D83" s="63"/>
      <c r="E83" s="63"/>
      <c r="F83" s="63"/>
      <c r="G83" s="63"/>
      <c r="H83" s="63"/>
      <c r="I83" s="63"/>
      <c r="J83" s="63"/>
      <c r="K83" s="64">
        <f>K81/O20</f>
        <v>9.49211409998751</v>
      </c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0" spans="1:11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7:11" ht="12.75">
      <c r="G91" s="123"/>
      <c r="H91" s="123"/>
      <c r="I91" s="123"/>
      <c r="J91" s="123"/>
      <c r="K91" s="123"/>
    </row>
    <row r="92" spans="7:11" ht="12.75">
      <c r="G92" s="123"/>
      <c r="H92" s="123"/>
      <c r="I92" s="123"/>
      <c r="J92" s="123"/>
      <c r="K92" s="123"/>
    </row>
    <row r="101" spans="3:9" s="65" customFormat="1" ht="15.75">
      <c r="C101" s="106" t="s">
        <v>139</v>
      </c>
      <c r="D101" s="107"/>
      <c r="E101" s="107"/>
      <c r="F101" s="107"/>
      <c r="G101" s="107"/>
      <c r="H101" s="107"/>
      <c r="I101" s="107"/>
    </row>
    <row r="102" spans="3:9" s="65" customFormat="1" ht="15.75">
      <c r="C102" s="74" t="s">
        <v>140</v>
      </c>
      <c r="D102" s="74" t="s">
        <v>141</v>
      </c>
      <c r="E102" s="74"/>
      <c r="F102" s="74"/>
      <c r="G102" s="75"/>
      <c r="H102" s="75"/>
      <c r="I102" s="75"/>
    </row>
    <row r="103" s="65" customFormat="1" ht="12.75"/>
    <row r="104" spans="5:8" s="65" customFormat="1" ht="12.75">
      <c r="E104" s="65" t="s">
        <v>142</v>
      </c>
      <c r="H104" s="65" t="e">
        <f>#REF!</f>
        <v>#REF!</v>
      </c>
    </row>
    <row r="105" spans="5:8" s="65" customFormat="1" ht="12.75">
      <c r="E105" s="65" t="s">
        <v>143</v>
      </c>
      <c r="H105" s="65" t="e">
        <f>#REF!</f>
        <v>#REF!</v>
      </c>
    </row>
    <row r="106" spans="5:8" s="65" customFormat="1" ht="12.75">
      <c r="E106" s="65" t="s">
        <v>144</v>
      </c>
      <c r="H106" s="65" t="e">
        <f>#REF!</f>
        <v>#REF!</v>
      </c>
    </row>
    <row r="107" spans="5:8" s="65" customFormat="1" ht="12.75">
      <c r="E107" s="65" t="s">
        <v>145</v>
      </c>
      <c r="H107" s="65">
        <f>O21</f>
        <v>137</v>
      </c>
    </row>
    <row r="108" spans="5:8" s="65" customFormat="1" ht="12.75">
      <c r="E108" s="65" t="s">
        <v>146</v>
      </c>
      <c r="H108" s="65" t="e">
        <f>#REF!</f>
        <v>#REF!</v>
      </c>
    </row>
    <row r="109" s="65" customFormat="1" ht="12.75"/>
    <row r="110" spans="1:11" s="65" customFormat="1" ht="15.75">
      <c r="A110" s="105" t="s">
        <v>72</v>
      </c>
      <c r="B110" s="105"/>
      <c r="C110" s="105"/>
      <c r="D110" s="105"/>
      <c r="E110" s="105"/>
      <c r="F110" s="105"/>
      <c r="G110" s="105"/>
      <c r="H110" s="76" t="e">
        <f>H112+H114+H116+H118+H120+H122+H124</f>
        <v>#REF!</v>
      </c>
      <c r="I110" s="77" t="s">
        <v>70</v>
      </c>
      <c r="K110" s="78" t="e">
        <f>H110-20000</f>
        <v>#REF!</v>
      </c>
    </row>
    <row r="111" spans="1:7" s="65" customFormat="1" ht="12.75">
      <c r="A111" s="79"/>
      <c r="B111" s="79"/>
      <c r="C111" s="79"/>
      <c r="D111" s="79"/>
      <c r="E111" s="79"/>
      <c r="F111" s="79"/>
      <c r="G111" s="79"/>
    </row>
    <row r="112" spans="1:8" s="65" customFormat="1" ht="15.75">
      <c r="A112" s="80" t="s">
        <v>147</v>
      </c>
      <c r="B112" s="80"/>
      <c r="C112" s="80"/>
      <c r="D112" s="80"/>
      <c r="E112" s="80"/>
      <c r="F112" s="80"/>
      <c r="G112" s="80"/>
      <c r="H112" s="78">
        <f>K17</f>
        <v>5418.055022314911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78"/>
    </row>
    <row r="114" spans="1:8" s="65" customFormat="1" ht="15.75">
      <c r="A114" s="105" t="s">
        <v>95</v>
      </c>
      <c r="B114" s="105"/>
      <c r="C114" s="105"/>
      <c r="D114" s="105"/>
      <c r="E114" s="105"/>
      <c r="F114" s="80"/>
      <c r="G114" s="80"/>
      <c r="H114" s="78">
        <f>K31</f>
        <v>5593.390823333332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78"/>
    </row>
    <row r="116" spans="1:8" s="65" customFormat="1" ht="15.75">
      <c r="A116" s="105" t="s">
        <v>148</v>
      </c>
      <c r="B116" s="105"/>
      <c r="C116" s="105"/>
      <c r="D116" s="105"/>
      <c r="E116" s="105"/>
      <c r="F116" s="105"/>
      <c r="G116" s="105"/>
      <c r="H116" s="81" t="e">
        <f>#REF!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80" t="s">
        <v>111</v>
      </c>
      <c r="B118" s="80"/>
      <c r="C118" s="80"/>
      <c r="D118" s="80"/>
      <c r="E118" s="80"/>
      <c r="F118" s="80"/>
      <c r="G118" s="80"/>
      <c r="H118" s="82" t="e">
        <f>M47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105" t="s">
        <v>149</v>
      </c>
      <c r="B120" s="105"/>
      <c r="C120" s="105"/>
      <c r="D120" s="105"/>
      <c r="E120" s="80"/>
      <c r="F120" s="80"/>
      <c r="G120" s="80"/>
      <c r="H120" s="81" t="e">
        <f>M60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3" t="s">
        <v>127</v>
      </c>
      <c r="B122" s="83"/>
      <c r="C122" s="83"/>
      <c r="D122" s="83"/>
      <c r="E122" s="83"/>
      <c r="F122" s="83"/>
      <c r="G122" s="83"/>
      <c r="H122" s="81" t="e">
        <f>M67</f>
        <v>#REF!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80" t="s">
        <v>150</v>
      </c>
      <c r="B124" s="80"/>
      <c r="C124" s="80"/>
      <c r="D124" s="80"/>
      <c r="E124" s="80"/>
      <c r="F124" s="84"/>
      <c r="G124" s="84"/>
      <c r="H124" s="81" t="e">
        <f>L77</f>
        <v>#REF!</v>
      </c>
    </row>
    <row r="125" s="65" customFormat="1" ht="12.75"/>
    <row r="126" s="65" customFormat="1" ht="12.75"/>
    <row r="127" s="65" customFormat="1" ht="12.75">
      <c r="H127" s="65" t="s">
        <v>151</v>
      </c>
    </row>
    <row r="128" s="65" customFormat="1" ht="12.75">
      <c r="H128" s="65" t="s">
        <v>146</v>
      </c>
    </row>
    <row r="129" s="65" customFormat="1" ht="12.75">
      <c r="H129" s="65" t="s">
        <v>152</v>
      </c>
    </row>
    <row r="130" s="65" customFormat="1" ht="12.75"/>
    <row r="131" s="65" customFormat="1" ht="12.75"/>
    <row r="132" s="65" customFormat="1" ht="12.75">
      <c r="F132" s="65" t="s">
        <v>153</v>
      </c>
    </row>
    <row r="133" s="65" customFormat="1" ht="12.75">
      <c r="D133" s="65" t="s">
        <v>154</v>
      </c>
    </row>
    <row r="134" s="65" customFormat="1" ht="12.75">
      <c r="D134" s="65" t="s">
        <v>155</v>
      </c>
    </row>
    <row r="135" spans="6:13" s="65" customFormat="1" ht="12.75">
      <c r="F135" s="65" t="s">
        <v>156</v>
      </c>
      <c r="M135" s="65" t="s">
        <v>157</v>
      </c>
    </row>
    <row r="136" s="65" customFormat="1" ht="12.75">
      <c r="M136" s="65" t="s">
        <v>158</v>
      </c>
    </row>
    <row r="137" spans="1:13" s="65" customFormat="1" ht="12.75">
      <c r="A137" s="65" t="s">
        <v>159</v>
      </c>
      <c r="B137" s="65" t="s">
        <v>160</v>
      </c>
      <c r="D137" s="65" t="s">
        <v>161</v>
      </c>
      <c r="F137" s="65" t="s">
        <v>162</v>
      </c>
      <c r="G137" s="65" t="s">
        <v>163</v>
      </c>
      <c r="H137" s="65" t="s">
        <v>164</v>
      </c>
      <c r="J137" s="65" t="s">
        <v>165</v>
      </c>
      <c r="M137" s="73" t="s">
        <v>166</v>
      </c>
    </row>
    <row r="138" spans="1:14" s="65" customFormat="1" ht="12.75">
      <c r="A138" s="65" t="s">
        <v>167</v>
      </c>
      <c r="B138" s="65" t="s">
        <v>168</v>
      </c>
      <c r="D138" s="65" t="s">
        <v>169</v>
      </c>
      <c r="F138" s="65" t="s">
        <v>170</v>
      </c>
      <c r="G138" s="65" t="s">
        <v>171</v>
      </c>
      <c r="H138" s="65" t="s">
        <v>172</v>
      </c>
      <c r="J138" s="65" t="s">
        <v>173</v>
      </c>
      <c r="M138" s="65" t="s">
        <v>174</v>
      </c>
      <c r="N138" s="65">
        <v>2896.4</v>
      </c>
    </row>
    <row r="139" spans="8:9" s="65" customFormat="1" ht="12.75">
      <c r="H139" s="65" t="s">
        <v>175</v>
      </c>
      <c r="I139" s="65" t="s">
        <v>176</v>
      </c>
    </row>
    <row r="140" spans="8:13" s="65" customFormat="1" ht="12.75">
      <c r="H140" s="65" t="s">
        <v>170</v>
      </c>
      <c r="I140" s="65" t="s">
        <v>177</v>
      </c>
      <c r="M140" s="65" t="s">
        <v>178</v>
      </c>
    </row>
    <row r="141" spans="9:13" s="65" customFormat="1" ht="12.75">
      <c r="I141" s="65" t="s">
        <v>179</v>
      </c>
      <c r="M141" s="65" t="s">
        <v>158</v>
      </c>
    </row>
    <row r="142" s="65" customFormat="1" ht="12.75">
      <c r="M142" s="73" t="s">
        <v>166</v>
      </c>
    </row>
    <row r="143" spans="1:14" s="65" customFormat="1" ht="12.75">
      <c r="A143" s="65" t="s">
        <v>180</v>
      </c>
      <c r="B143" s="65" t="s">
        <v>181</v>
      </c>
      <c r="D143" s="65" t="s">
        <v>182</v>
      </c>
      <c r="M143" s="65" t="s">
        <v>174</v>
      </c>
      <c r="N143" s="65">
        <v>695.5</v>
      </c>
    </row>
    <row r="144" spans="2:4" s="65" customFormat="1" ht="12.75">
      <c r="B144" s="65" t="s">
        <v>183</v>
      </c>
      <c r="D144" s="65" t="s">
        <v>184</v>
      </c>
    </row>
    <row r="145" spans="2:13" s="65" customFormat="1" ht="12.75">
      <c r="B145" s="65" t="s">
        <v>185</v>
      </c>
      <c r="D145" s="65" t="s">
        <v>186</v>
      </c>
      <c r="M145" s="65" t="s">
        <v>187</v>
      </c>
    </row>
    <row r="146" spans="2:13" s="65" customFormat="1" ht="12.75">
      <c r="B146" s="65" t="s">
        <v>188</v>
      </c>
      <c r="D146" s="65" t="s">
        <v>189</v>
      </c>
      <c r="M146" s="65" t="s">
        <v>158</v>
      </c>
    </row>
    <row r="147" spans="2:13" s="65" customFormat="1" ht="12.75">
      <c r="B147" s="65" t="s">
        <v>190</v>
      </c>
      <c r="M147" s="73" t="s">
        <v>166</v>
      </c>
    </row>
    <row r="148" spans="4:14" s="65" customFormat="1" ht="12.75">
      <c r="D148" s="65" t="s">
        <v>191</v>
      </c>
      <c r="M148" s="65" t="s">
        <v>174</v>
      </c>
      <c r="N148" s="65">
        <v>556.4</v>
      </c>
    </row>
    <row r="149" spans="4:6" s="65" customFormat="1" ht="12.75">
      <c r="D149" s="65" t="s">
        <v>192</v>
      </c>
      <c r="F149" s="65" t="s">
        <v>193</v>
      </c>
    </row>
    <row r="150" spans="4:13" s="65" customFormat="1" ht="12.75">
      <c r="D150" s="65" t="s">
        <v>158</v>
      </c>
      <c r="F150" s="65" t="s">
        <v>194</v>
      </c>
      <c r="H150" s="65">
        <v>0.0687</v>
      </c>
      <c r="I150" s="65">
        <v>0</v>
      </c>
      <c r="K150" s="65">
        <f>N141/1000*H150</f>
        <v>0</v>
      </c>
      <c r="M150" s="65" t="s">
        <v>195</v>
      </c>
    </row>
    <row r="151" spans="4:13" s="65" customFormat="1" ht="12.75">
      <c r="D151" s="65" t="s">
        <v>196</v>
      </c>
      <c r="F151" s="65" t="s">
        <v>197</v>
      </c>
      <c r="H151" s="65">
        <v>0.0763</v>
      </c>
      <c r="I151" s="65">
        <v>0</v>
      </c>
      <c r="K151" s="65">
        <f>N142/1000*H151</f>
        <v>0</v>
      </c>
      <c r="M151" s="65" t="s">
        <v>158</v>
      </c>
    </row>
    <row r="152" spans="4:13" s="65" customFormat="1" ht="12.75">
      <c r="D152" s="65" t="s">
        <v>198</v>
      </c>
      <c r="F152" s="65" t="s">
        <v>199</v>
      </c>
      <c r="H152" s="65">
        <v>0.0839</v>
      </c>
      <c r="I152" s="65">
        <v>0</v>
      </c>
      <c r="K152" s="69">
        <f>N143/1000*H152</f>
        <v>0.05835245</v>
      </c>
      <c r="M152" s="73" t="s">
        <v>166</v>
      </c>
    </row>
    <row r="153" spans="6:13" s="65" customFormat="1" ht="12.75">
      <c r="F153" s="65" t="s">
        <v>200</v>
      </c>
      <c r="M153" s="65" t="s">
        <v>174</v>
      </c>
    </row>
    <row r="154" s="65" customFormat="1" ht="12.75">
      <c r="F154" s="65" t="s">
        <v>190</v>
      </c>
    </row>
    <row r="155" spans="5:9" s="65" customFormat="1" ht="12.75">
      <c r="E155" s="65" t="s">
        <v>201</v>
      </c>
      <c r="I155" s="65">
        <v>0</v>
      </c>
    </row>
    <row r="156" spans="2:4" s="65" customFormat="1" ht="12.75">
      <c r="B156" s="65" t="s">
        <v>202</v>
      </c>
      <c r="D156" s="65" t="s">
        <v>203</v>
      </c>
    </row>
    <row r="157" s="65" customFormat="1" ht="12.75">
      <c r="D157" s="65" t="s">
        <v>204</v>
      </c>
    </row>
    <row r="158" s="65" customFormat="1" ht="12.75">
      <c r="D158" s="65" t="s">
        <v>205</v>
      </c>
    </row>
    <row r="159" s="65" customFormat="1" ht="12.75">
      <c r="D159" s="65" t="s">
        <v>191</v>
      </c>
    </row>
    <row r="160" spans="4:11" s="65" customFormat="1" ht="12.75">
      <c r="D160" s="65" t="s">
        <v>158</v>
      </c>
      <c r="H160" s="65">
        <v>0.00338</v>
      </c>
      <c r="K160" s="69">
        <f>N164/1000*H160</f>
        <v>0</v>
      </c>
    </row>
    <row r="161" spans="4:11" s="65" customFormat="1" ht="12.75">
      <c r="D161" s="65" t="s">
        <v>196</v>
      </c>
      <c r="H161" s="65">
        <v>0.00376</v>
      </c>
      <c r="K161" s="69">
        <f>N165/1000*H161</f>
        <v>0</v>
      </c>
    </row>
    <row r="162" spans="4:11" s="65" customFormat="1" ht="12.75">
      <c r="D162" s="65" t="s">
        <v>198</v>
      </c>
      <c r="H162" s="65">
        <v>0.00414</v>
      </c>
      <c r="K162" s="69">
        <f>N166/1000*H162</f>
        <v>0.011991096</v>
      </c>
    </row>
    <row r="163" s="65" customFormat="1" ht="12.75">
      <c r="M163" s="65" t="s">
        <v>206</v>
      </c>
    </row>
    <row r="164" spans="1:13" s="65" customFormat="1" ht="12.75">
      <c r="A164" s="65" t="s">
        <v>207</v>
      </c>
      <c r="B164" s="65" t="s">
        <v>208</v>
      </c>
      <c r="D164" s="65" t="s">
        <v>203</v>
      </c>
      <c r="M164" s="65" t="s">
        <v>158</v>
      </c>
    </row>
    <row r="165" spans="4:13" s="65" customFormat="1" ht="12.75">
      <c r="D165" s="65" t="s">
        <v>209</v>
      </c>
      <c r="M165" s="73" t="s">
        <v>166</v>
      </c>
    </row>
    <row r="166" spans="4:14" s="65" customFormat="1" ht="12.75">
      <c r="D166" s="65" t="s">
        <v>191</v>
      </c>
      <c r="M166" s="65" t="s">
        <v>174</v>
      </c>
      <c r="N166" s="65">
        <f>N138</f>
        <v>2896.4</v>
      </c>
    </row>
    <row r="167" spans="4:11" s="65" customFormat="1" ht="12.75">
      <c r="D167" s="65" t="s">
        <v>158</v>
      </c>
      <c r="H167" s="65">
        <v>0.02043</v>
      </c>
      <c r="I167" s="65">
        <v>0</v>
      </c>
      <c r="K167" s="65">
        <f>N151/1000*H167</f>
        <v>0</v>
      </c>
    </row>
    <row r="168" spans="4:13" s="65" customFormat="1" ht="12.75">
      <c r="D168" s="65" t="s">
        <v>196</v>
      </c>
      <c r="H168" s="65">
        <v>0.0227</v>
      </c>
      <c r="I168" s="65">
        <v>0</v>
      </c>
      <c r="K168" s="65">
        <f>N152/1000*H168</f>
        <v>0</v>
      </c>
      <c r="M168" s="65" t="s">
        <v>210</v>
      </c>
    </row>
    <row r="169" spans="4:13" s="65" customFormat="1" ht="12.75">
      <c r="D169" s="65" t="s">
        <v>198</v>
      </c>
      <c r="H169" s="65">
        <v>0.02497</v>
      </c>
      <c r="I169" s="65">
        <v>0</v>
      </c>
      <c r="K169" s="65">
        <f>N153/1000*H169</f>
        <v>0</v>
      </c>
      <c r="M169" s="65" t="s">
        <v>158</v>
      </c>
    </row>
    <row r="170" spans="4:13" s="65" customFormat="1" ht="12.75">
      <c r="D170" s="65" t="s">
        <v>211</v>
      </c>
      <c r="M170" s="73" t="s">
        <v>166</v>
      </c>
    </row>
    <row r="171" spans="4:14" s="65" customFormat="1" ht="12.75">
      <c r="D171" s="65" t="s">
        <v>191</v>
      </c>
      <c r="M171" s="65" t="s">
        <v>174</v>
      </c>
      <c r="N171" s="65">
        <v>60</v>
      </c>
    </row>
    <row r="172" spans="4:6" s="65" customFormat="1" ht="12.75">
      <c r="D172" s="65" t="s">
        <v>192</v>
      </c>
      <c r="F172" s="65" t="s">
        <v>193</v>
      </c>
    </row>
    <row r="173" spans="4:11" s="65" customFormat="1" ht="12.75">
      <c r="D173" s="65" t="s">
        <v>158</v>
      </c>
      <c r="H173" s="65">
        <v>0.00999</v>
      </c>
      <c r="K173" s="69">
        <f>N136/1000*H173</f>
        <v>0</v>
      </c>
    </row>
    <row r="174" spans="4:11" s="65" customFormat="1" ht="12.75">
      <c r="D174" s="65" t="s">
        <v>196</v>
      </c>
      <c r="H174" s="65">
        <v>0.0111</v>
      </c>
      <c r="K174" s="69">
        <f>N137/1000*H174</f>
        <v>0</v>
      </c>
    </row>
    <row r="175" spans="4:11" s="65" customFormat="1" ht="12.75">
      <c r="D175" s="65" t="s">
        <v>198</v>
      </c>
      <c r="H175" s="65">
        <v>0.01221</v>
      </c>
      <c r="I175" s="65">
        <v>0</v>
      </c>
      <c r="K175" s="69">
        <f>N138/1000*H175</f>
        <v>0.035365044000000005</v>
      </c>
    </row>
    <row r="176" s="65" customFormat="1" ht="12.75">
      <c r="I176" s="65">
        <v>0</v>
      </c>
    </row>
    <row r="177" spans="5:9" s="65" customFormat="1" ht="12.75">
      <c r="E177" s="65" t="s">
        <v>201</v>
      </c>
      <c r="G177" s="65">
        <v>0</v>
      </c>
      <c r="I177" s="65">
        <v>0</v>
      </c>
    </row>
    <row r="178" spans="1:6" s="65" customFormat="1" ht="12.75">
      <c r="A178" s="65" t="s">
        <v>212</v>
      </c>
      <c r="B178" s="65" t="s">
        <v>213</v>
      </c>
      <c r="D178" s="65" t="s">
        <v>203</v>
      </c>
      <c r="F178" s="65" t="s">
        <v>193</v>
      </c>
    </row>
    <row r="179" spans="2:6" s="65" customFormat="1" ht="12.75">
      <c r="B179" s="65" t="s">
        <v>214</v>
      </c>
      <c r="D179" s="65" t="s">
        <v>209</v>
      </c>
      <c r="F179" s="65" t="s">
        <v>215</v>
      </c>
    </row>
    <row r="180" spans="4:6" s="65" customFormat="1" ht="12.75">
      <c r="D180" s="65" t="s">
        <v>191</v>
      </c>
      <c r="F180" s="65" t="s">
        <v>216</v>
      </c>
    </row>
    <row r="181" spans="4:11" s="65" customFormat="1" ht="12.75">
      <c r="D181" s="65" t="s">
        <v>158</v>
      </c>
      <c r="H181" s="65">
        <v>0.018432</v>
      </c>
      <c r="I181" s="65">
        <v>0</v>
      </c>
      <c r="K181" s="65">
        <f>N151/1000*H181</f>
        <v>0</v>
      </c>
    </row>
    <row r="182" spans="4:11" s="65" customFormat="1" ht="12.75">
      <c r="D182" s="65" t="s">
        <v>196</v>
      </c>
      <c r="H182" s="65">
        <v>0.02048</v>
      </c>
      <c r="I182" s="65">
        <v>0</v>
      </c>
      <c r="K182" s="65">
        <f>N152/1000*H182</f>
        <v>0</v>
      </c>
    </row>
    <row r="183" spans="4:11" s="65" customFormat="1" ht="12.75">
      <c r="D183" s="65" t="s">
        <v>198</v>
      </c>
      <c r="K183" s="65">
        <f>N153/1000*H183</f>
        <v>0</v>
      </c>
    </row>
    <row r="184" s="65" customFormat="1" ht="12.75">
      <c r="D184" s="65" t="s">
        <v>211</v>
      </c>
    </row>
    <row r="185" s="65" customFormat="1" ht="12.75">
      <c r="D185" s="65" t="s">
        <v>191</v>
      </c>
    </row>
    <row r="186" s="65" customFormat="1" ht="12.75">
      <c r="D186" s="65" t="s">
        <v>192</v>
      </c>
    </row>
    <row r="187" spans="4:11" s="65" customFormat="1" ht="12.75">
      <c r="D187" s="65" t="s">
        <v>158</v>
      </c>
      <c r="K187" s="69">
        <f>N136/1000*H187</f>
        <v>0</v>
      </c>
    </row>
    <row r="188" spans="4:11" s="65" customFormat="1" ht="12.75">
      <c r="D188" s="65" t="s">
        <v>196</v>
      </c>
      <c r="H188" s="65">
        <v>0.02295</v>
      </c>
      <c r="I188" s="65">
        <v>0</v>
      </c>
      <c r="K188" s="69">
        <f>N137/1000*H188</f>
        <v>0</v>
      </c>
    </row>
    <row r="189" spans="4:11" s="65" customFormat="1" ht="12.75">
      <c r="D189" s="65" t="s">
        <v>198</v>
      </c>
      <c r="H189" s="65">
        <v>0.025245</v>
      </c>
      <c r="I189" s="65">
        <v>0</v>
      </c>
      <c r="K189" s="69">
        <f>N138/1000*H189</f>
        <v>0.07311961800000001</v>
      </c>
    </row>
    <row r="190" spans="5:11" s="65" customFormat="1" ht="12.75">
      <c r="E190" s="65" t="s">
        <v>201</v>
      </c>
      <c r="G190" s="65">
        <v>0</v>
      </c>
      <c r="I190" s="65">
        <v>0</v>
      </c>
      <c r="K190" s="69"/>
    </row>
    <row r="191" s="65" customFormat="1" ht="12.75">
      <c r="K191" s="69"/>
    </row>
    <row r="192" spans="1:11" s="65" customFormat="1" ht="12.75">
      <c r="A192" s="65" t="s">
        <v>217</v>
      </c>
      <c r="B192" s="65" t="s">
        <v>218</v>
      </c>
      <c r="D192" s="65" t="s">
        <v>203</v>
      </c>
      <c r="K192" s="69"/>
    </row>
    <row r="193" spans="4:11" s="65" customFormat="1" ht="12.75">
      <c r="D193" s="65" t="s">
        <v>209</v>
      </c>
      <c r="K193" s="69"/>
    </row>
    <row r="194" spans="4:11" s="65" customFormat="1" ht="12.75">
      <c r="D194" s="65" t="s">
        <v>191</v>
      </c>
      <c r="K194" s="69"/>
    </row>
    <row r="195" spans="4:11" s="65" customFormat="1" ht="12.75">
      <c r="D195" s="65" t="s">
        <v>158</v>
      </c>
      <c r="H195" s="65">
        <v>0.027585</v>
      </c>
      <c r="I195" s="65">
        <v>0</v>
      </c>
      <c r="K195" s="69">
        <f>N151/1000*H195</f>
        <v>0</v>
      </c>
    </row>
    <row r="196" spans="4:11" s="65" customFormat="1" ht="12.75">
      <c r="D196" s="65" t="s">
        <v>196</v>
      </c>
      <c r="H196" s="65">
        <v>0.3065</v>
      </c>
      <c r="I196" s="65">
        <v>0</v>
      </c>
      <c r="K196" s="69">
        <f>N152/1000*H196</f>
        <v>0</v>
      </c>
    </row>
    <row r="197" spans="4:11" s="65" customFormat="1" ht="12.75">
      <c r="D197" s="65" t="s">
        <v>198</v>
      </c>
      <c r="K197" s="69">
        <f>N153/1000*H197</f>
        <v>0</v>
      </c>
    </row>
    <row r="198" spans="4:11" s="65" customFormat="1" ht="12.75">
      <c r="D198" s="65" t="s">
        <v>211</v>
      </c>
      <c r="K198" s="69"/>
    </row>
    <row r="199" spans="4:11" s="65" customFormat="1" ht="12.75">
      <c r="D199" s="65" t="s">
        <v>191</v>
      </c>
      <c r="K199" s="69"/>
    </row>
    <row r="200" spans="4:11" s="65" customFormat="1" ht="12.75">
      <c r="D200" s="65" t="s">
        <v>192</v>
      </c>
      <c r="K200" s="69"/>
    </row>
    <row r="201" spans="4:11" s="65" customFormat="1" ht="12.75">
      <c r="D201" s="65" t="s">
        <v>158</v>
      </c>
      <c r="K201" s="69">
        <f>N136/1000*H201</f>
        <v>0</v>
      </c>
    </row>
    <row r="202" spans="4:11" s="65" customFormat="1" ht="12.75">
      <c r="D202" s="65" t="s">
        <v>196</v>
      </c>
      <c r="H202" s="65">
        <v>0.00539</v>
      </c>
      <c r="I202" s="65">
        <v>0</v>
      </c>
      <c r="K202" s="69">
        <f>N137/1000*H202</f>
        <v>0</v>
      </c>
    </row>
    <row r="203" spans="4:11" s="65" customFormat="1" ht="12.75">
      <c r="D203" s="65" t="s">
        <v>198</v>
      </c>
      <c r="H203" s="65">
        <v>0.005929</v>
      </c>
      <c r="I203" s="65">
        <v>0</v>
      </c>
      <c r="K203" s="69">
        <f>N138/1000*H203</f>
        <v>0.017172755600000002</v>
      </c>
    </row>
    <row r="204" spans="5:11" s="65" customFormat="1" ht="12.75">
      <c r="E204" s="65" t="s">
        <v>201</v>
      </c>
      <c r="G204" s="65">
        <v>0</v>
      </c>
      <c r="I204" s="65">
        <v>0</v>
      </c>
      <c r="K204" s="69"/>
    </row>
    <row r="205" s="65" customFormat="1" ht="12.75">
      <c r="K205" s="69"/>
    </row>
    <row r="206" spans="1:11" s="65" customFormat="1" ht="12.75">
      <c r="A206" s="65" t="s">
        <v>219</v>
      </c>
      <c r="B206" s="65" t="s">
        <v>220</v>
      </c>
      <c r="D206" s="65" t="s">
        <v>203</v>
      </c>
      <c r="K206" s="69"/>
    </row>
    <row r="207" spans="2:11" s="65" customFormat="1" ht="12.75">
      <c r="B207" s="65" t="s">
        <v>214</v>
      </c>
      <c r="D207" s="65" t="s">
        <v>209</v>
      </c>
      <c r="K207" s="69"/>
    </row>
    <row r="208" spans="4:11" s="65" customFormat="1" ht="12.75">
      <c r="D208" s="65" t="s">
        <v>191</v>
      </c>
      <c r="K208" s="69"/>
    </row>
    <row r="209" spans="4:11" s="65" customFormat="1" ht="12.75">
      <c r="D209" s="65" t="s">
        <v>158</v>
      </c>
      <c r="H209" s="65">
        <v>0.022437</v>
      </c>
      <c r="I209" s="65">
        <v>0</v>
      </c>
      <c r="K209" s="69">
        <f>N151/1000*H209</f>
        <v>0</v>
      </c>
    </row>
    <row r="210" spans="4:11" s="65" customFormat="1" ht="12.75">
      <c r="D210" s="65" t="s">
        <v>196</v>
      </c>
      <c r="H210" s="65">
        <v>0.02493</v>
      </c>
      <c r="I210" s="65">
        <v>0</v>
      </c>
      <c r="K210" s="69">
        <f>N152/1000*H210</f>
        <v>0</v>
      </c>
    </row>
    <row r="211" spans="4:11" s="65" customFormat="1" ht="12.75">
      <c r="D211" s="65" t="s">
        <v>198</v>
      </c>
      <c r="K211" s="65">
        <f>N153/1000*H211</f>
        <v>0</v>
      </c>
    </row>
    <row r="212" s="65" customFormat="1" ht="12.75">
      <c r="D212" s="65" t="s">
        <v>211</v>
      </c>
    </row>
    <row r="213" s="65" customFormat="1" ht="12.75">
      <c r="D213" s="65" t="s">
        <v>191</v>
      </c>
    </row>
    <row r="214" s="65" customFormat="1" ht="12.75">
      <c r="D214" s="65" t="s">
        <v>192</v>
      </c>
    </row>
    <row r="215" spans="4:11" s="65" customFormat="1" ht="12.75">
      <c r="D215" s="65" t="s">
        <v>158</v>
      </c>
      <c r="K215" s="69">
        <f>N136/1000*H215</f>
        <v>0</v>
      </c>
    </row>
    <row r="216" spans="4:11" s="65" customFormat="1" ht="12.75">
      <c r="D216" s="65" t="s">
        <v>196</v>
      </c>
      <c r="H216" s="65">
        <v>0.00888</v>
      </c>
      <c r="I216" s="65">
        <v>0</v>
      </c>
      <c r="K216" s="69">
        <f>N137/1000*H216</f>
        <v>0</v>
      </c>
    </row>
    <row r="217" spans="4:11" s="65" customFormat="1" ht="12.75">
      <c r="D217" s="65" t="s">
        <v>198</v>
      </c>
      <c r="H217" s="65">
        <v>0.009768</v>
      </c>
      <c r="I217" s="65">
        <v>0</v>
      </c>
      <c r="K217" s="69">
        <f>N138/1000*H217</f>
        <v>0.028292035200000006</v>
      </c>
    </row>
    <row r="218" spans="5:11" s="65" customFormat="1" ht="12.75">
      <c r="E218" s="65" t="s">
        <v>201</v>
      </c>
      <c r="G218" s="65">
        <v>0</v>
      </c>
      <c r="I218" s="65">
        <v>0</v>
      </c>
      <c r="K218" s="69"/>
    </row>
    <row r="219" s="65" customFormat="1" ht="12.75">
      <c r="K219" s="69"/>
    </row>
    <row r="220" spans="2:4" s="65" customFormat="1" ht="12.75">
      <c r="B220" s="65" t="s">
        <v>221</v>
      </c>
      <c r="D220" s="65" t="s">
        <v>203</v>
      </c>
    </row>
    <row r="221" s="65" customFormat="1" ht="12.75">
      <c r="D221" s="65" t="s">
        <v>204</v>
      </c>
    </row>
    <row r="222" s="65" customFormat="1" ht="12.75">
      <c r="D222" s="65" t="s">
        <v>205</v>
      </c>
    </row>
    <row r="223" s="65" customFormat="1" ht="12.75">
      <c r="D223" s="65" t="s">
        <v>191</v>
      </c>
    </row>
    <row r="224" spans="4:11" s="65" customFormat="1" ht="12.75">
      <c r="D224" s="65" t="s">
        <v>158</v>
      </c>
      <c r="H224" s="65">
        <v>0.0243</v>
      </c>
      <c r="K224" s="69">
        <f>N164/1000*H224</f>
        <v>0</v>
      </c>
    </row>
    <row r="225" spans="4:11" s="65" customFormat="1" ht="12.75">
      <c r="D225" s="65" t="s">
        <v>196</v>
      </c>
      <c r="H225" s="65">
        <v>0.027</v>
      </c>
      <c r="K225" s="69">
        <f>N165/1000*H225</f>
        <v>0</v>
      </c>
    </row>
    <row r="226" spans="4:11" s="65" customFormat="1" ht="12.75">
      <c r="D226" s="65" t="s">
        <v>198</v>
      </c>
      <c r="H226" s="65">
        <v>0.0297</v>
      </c>
      <c r="K226" s="69">
        <f>N166/1000*H226</f>
        <v>0.08602308000000002</v>
      </c>
    </row>
    <row r="227" spans="1:11" s="65" customFormat="1" ht="12.75">
      <c r="A227" s="65" t="s">
        <v>222</v>
      </c>
      <c r="B227" s="65" t="s">
        <v>223</v>
      </c>
      <c r="D227" s="65" t="s">
        <v>203</v>
      </c>
      <c r="K227" s="69"/>
    </row>
    <row r="228" spans="4:11" s="65" customFormat="1" ht="12.75">
      <c r="D228" s="65" t="s">
        <v>209</v>
      </c>
      <c r="K228" s="69"/>
    </row>
    <row r="229" spans="4:11" s="65" customFormat="1" ht="12.75">
      <c r="D229" s="65" t="s">
        <v>191</v>
      </c>
      <c r="K229" s="69"/>
    </row>
    <row r="230" spans="4:11" s="65" customFormat="1" ht="12.75">
      <c r="D230" s="65" t="s">
        <v>158</v>
      </c>
      <c r="H230" s="65">
        <v>0.01773</v>
      </c>
      <c r="I230" s="65">
        <v>0</v>
      </c>
      <c r="K230" s="69">
        <f>N151/1000*H230</f>
        <v>0</v>
      </c>
    </row>
    <row r="231" spans="4:11" s="65" customFormat="1" ht="12.75">
      <c r="D231" s="65" t="s">
        <v>196</v>
      </c>
      <c r="H231" s="65">
        <v>0.0197</v>
      </c>
      <c r="I231" s="65">
        <v>0</v>
      </c>
      <c r="K231" s="69">
        <f>N152/1000*H231</f>
        <v>0</v>
      </c>
    </row>
    <row r="232" spans="4:11" s="65" customFormat="1" ht="12.75">
      <c r="D232" s="65" t="s">
        <v>198</v>
      </c>
      <c r="K232" s="69">
        <f>N153/1000*H232</f>
        <v>0</v>
      </c>
    </row>
    <row r="233" spans="4:11" s="65" customFormat="1" ht="12.75">
      <c r="D233" s="65" t="s">
        <v>211</v>
      </c>
      <c r="K233" s="69"/>
    </row>
    <row r="234" spans="4:11" s="65" customFormat="1" ht="12.75">
      <c r="D234" s="65" t="s">
        <v>191</v>
      </c>
      <c r="K234" s="69"/>
    </row>
    <row r="235" spans="4:11" s="65" customFormat="1" ht="12.75">
      <c r="D235" s="65" t="s">
        <v>192</v>
      </c>
      <c r="K235" s="69"/>
    </row>
    <row r="236" spans="4:11" s="65" customFormat="1" ht="12.75">
      <c r="D236" s="65" t="s">
        <v>158</v>
      </c>
      <c r="K236" s="69">
        <f>N136/1000*H236</f>
        <v>0</v>
      </c>
    </row>
    <row r="237" spans="4:11" s="65" customFormat="1" ht="12.75">
      <c r="D237" s="65" t="s">
        <v>196</v>
      </c>
      <c r="H237" s="65">
        <v>0.0018</v>
      </c>
      <c r="I237" s="65">
        <v>0</v>
      </c>
      <c r="K237" s="69">
        <f>N137/1000*H237</f>
        <v>0</v>
      </c>
    </row>
    <row r="238" spans="4:11" s="65" customFormat="1" ht="12.75">
      <c r="D238" s="65" t="s">
        <v>198</v>
      </c>
      <c r="H238" s="65">
        <v>0.00198</v>
      </c>
      <c r="I238" s="65">
        <v>0</v>
      </c>
      <c r="K238" s="69">
        <f>N138/1000*H238</f>
        <v>0.005734872</v>
      </c>
    </row>
    <row r="239" spans="5:11" s="65" customFormat="1" ht="12.75">
      <c r="E239" s="65" t="s">
        <v>201</v>
      </c>
      <c r="G239" s="65">
        <v>0</v>
      </c>
      <c r="I239" s="65">
        <v>0</v>
      </c>
      <c r="K239" s="69"/>
    </row>
    <row r="240" s="65" customFormat="1" ht="12.75">
      <c r="K240" s="69"/>
    </row>
    <row r="241" spans="2:7" s="65" customFormat="1" ht="12.75">
      <c r="B241" s="65" t="s">
        <v>224</v>
      </c>
      <c r="D241" s="65" t="s">
        <v>203</v>
      </c>
      <c r="G241" s="65" t="s">
        <v>225</v>
      </c>
    </row>
    <row r="242" spans="4:7" s="65" customFormat="1" ht="12.75">
      <c r="D242" s="65" t="s">
        <v>204</v>
      </c>
      <c r="G242" s="65" t="s">
        <v>226</v>
      </c>
    </row>
    <row r="243" spans="4:7" s="65" customFormat="1" ht="12.75">
      <c r="D243" s="65" t="s">
        <v>205</v>
      </c>
      <c r="G243" s="65" t="s">
        <v>227</v>
      </c>
    </row>
    <row r="244" s="65" customFormat="1" ht="12.75">
      <c r="D244" s="65" t="s">
        <v>191</v>
      </c>
    </row>
    <row r="245" spans="4:11" s="65" customFormat="1" ht="12.75">
      <c r="D245" s="65" t="s">
        <v>158</v>
      </c>
      <c r="H245" s="65">
        <v>0.02367</v>
      </c>
      <c r="K245" s="69">
        <f>N146/1000*H245</f>
        <v>0</v>
      </c>
    </row>
    <row r="246" spans="4:11" s="65" customFormat="1" ht="12.75">
      <c r="D246" s="65" t="s">
        <v>196</v>
      </c>
      <c r="H246" s="65">
        <v>0.0263</v>
      </c>
      <c r="K246" s="69">
        <f>N147/1000*H246</f>
        <v>0</v>
      </c>
    </row>
    <row r="247" spans="4:11" s="65" customFormat="1" ht="12.75">
      <c r="D247" s="65" t="s">
        <v>198</v>
      </c>
      <c r="H247" s="65">
        <v>0.02893</v>
      </c>
      <c r="K247" s="69">
        <f>N148/1000*H247</f>
        <v>0.016096652</v>
      </c>
    </row>
    <row r="248" s="65" customFormat="1" ht="12.75">
      <c r="K248" s="69"/>
    </row>
    <row r="249" spans="1:11" s="65" customFormat="1" ht="12.75">
      <c r="A249" s="65" t="s">
        <v>228</v>
      </c>
      <c r="B249" s="65" t="s">
        <v>229</v>
      </c>
      <c r="D249" s="65" t="s">
        <v>203</v>
      </c>
      <c r="K249" s="69"/>
    </row>
    <row r="250" spans="2:11" s="65" customFormat="1" ht="12.75">
      <c r="B250" s="65" t="s">
        <v>230</v>
      </c>
      <c r="D250" s="65" t="s">
        <v>209</v>
      </c>
      <c r="K250" s="69"/>
    </row>
    <row r="251" spans="4:11" s="65" customFormat="1" ht="12.75">
      <c r="D251" s="65" t="s">
        <v>191</v>
      </c>
      <c r="K251" s="69"/>
    </row>
    <row r="252" spans="4:11" s="65" customFormat="1" ht="12.75">
      <c r="D252" s="65" t="s">
        <v>158</v>
      </c>
      <c r="H252" s="65">
        <v>0.014679</v>
      </c>
      <c r="I252" s="65">
        <v>0</v>
      </c>
      <c r="K252" s="69">
        <f>N151/1000*H252</f>
        <v>0</v>
      </c>
    </row>
    <row r="253" spans="4:11" s="65" customFormat="1" ht="12.75">
      <c r="D253" s="65" t="s">
        <v>196</v>
      </c>
      <c r="H253" s="65">
        <v>0.01631</v>
      </c>
      <c r="I253" s="65">
        <v>0</v>
      </c>
      <c r="K253" s="69">
        <f>N152/1000*H253</f>
        <v>0</v>
      </c>
    </row>
    <row r="254" spans="4:11" s="65" customFormat="1" ht="12.75">
      <c r="D254" s="65" t="s">
        <v>198</v>
      </c>
      <c r="K254" s="69">
        <f>N153/1000*H254</f>
        <v>0</v>
      </c>
    </row>
    <row r="255" spans="4:11" s="65" customFormat="1" ht="12.75">
      <c r="D255" s="65" t="s">
        <v>211</v>
      </c>
      <c r="K255" s="69"/>
    </row>
    <row r="256" spans="4:11" s="65" customFormat="1" ht="12.75">
      <c r="D256" s="65" t="s">
        <v>191</v>
      </c>
      <c r="K256" s="69"/>
    </row>
    <row r="257" spans="4:11" s="65" customFormat="1" ht="12.75">
      <c r="D257" s="65" t="s">
        <v>192</v>
      </c>
      <c r="K257" s="69"/>
    </row>
    <row r="258" spans="4:11" s="65" customFormat="1" ht="12.75">
      <c r="D258" s="65" t="s">
        <v>158</v>
      </c>
      <c r="K258" s="69">
        <f>N136/1000*H258</f>
        <v>0</v>
      </c>
    </row>
    <row r="259" spans="4:11" s="65" customFormat="1" ht="12.75">
      <c r="D259" s="65" t="s">
        <v>196</v>
      </c>
      <c r="H259" s="65">
        <v>0.01631</v>
      </c>
      <c r="I259" s="65">
        <v>0</v>
      </c>
      <c r="K259" s="69">
        <f>N137/1000*H259</f>
        <v>0</v>
      </c>
    </row>
    <row r="260" spans="4:11" s="65" customFormat="1" ht="12.75">
      <c r="D260" s="65" t="s">
        <v>198</v>
      </c>
      <c r="H260" s="65">
        <v>0.017941</v>
      </c>
      <c r="I260" s="65">
        <v>0</v>
      </c>
      <c r="K260" s="69">
        <f>N138/1000*H260</f>
        <v>0.051964312400000004</v>
      </c>
    </row>
    <row r="261" spans="5:11" s="65" customFormat="1" ht="12.75">
      <c r="E261" s="65" t="s">
        <v>201</v>
      </c>
      <c r="G261" s="65">
        <v>0</v>
      </c>
      <c r="I261" s="65">
        <v>0</v>
      </c>
      <c r="K261" s="69"/>
    </row>
    <row r="262" s="65" customFormat="1" ht="12.75">
      <c r="K262" s="69"/>
    </row>
    <row r="263" spans="1:11" s="65" customFormat="1" ht="12.75">
      <c r="A263" s="65" t="s">
        <v>231</v>
      </c>
      <c r="B263" s="65" t="s">
        <v>232</v>
      </c>
      <c r="D263" s="65" t="s">
        <v>203</v>
      </c>
      <c r="K263" s="69"/>
    </row>
    <row r="264" spans="2:11" s="65" customFormat="1" ht="12.75">
      <c r="B264" s="65" t="s">
        <v>233</v>
      </c>
      <c r="D264" s="65" t="s">
        <v>211</v>
      </c>
      <c r="K264" s="69"/>
    </row>
    <row r="265" spans="4:11" s="65" customFormat="1" ht="12.75">
      <c r="D265" s="65" t="s">
        <v>209</v>
      </c>
      <c r="K265" s="69"/>
    </row>
    <row r="266" spans="4:11" s="65" customFormat="1" ht="12.75">
      <c r="D266" s="65" t="s">
        <v>234</v>
      </c>
      <c r="K266" s="69"/>
    </row>
    <row r="267" spans="4:11" s="65" customFormat="1" ht="12.75">
      <c r="D267" s="65" t="s">
        <v>235</v>
      </c>
      <c r="F267" s="65" t="s">
        <v>236</v>
      </c>
      <c r="K267" s="69"/>
    </row>
    <row r="268" spans="4:11" s="65" customFormat="1" ht="12.75">
      <c r="D268" s="65" t="s">
        <v>191</v>
      </c>
      <c r="F268" s="65" t="s">
        <v>237</v>
      </c>
      <c r="K268" s="69"/>
    </row>
    <row r="269" spans="4:11" s="65" customFormat="1" ht="12.75">
      <c r="D269" s="65" t="s">
        <v>158</v>
      </c>
      <c r="H269" s="65">
        <v>41000</v>
      </c>
      <c r="I269" s="65">
        <v>0</v>
      </c>
      <c r="K269" s="69">
        <f>N164/H269</f>
        <v>0</v>
      </c>
    </row>
    <row r="270" spans="4:11" s="65" customFormat="1" ht="12.75">
      <c r="D270" s="65" t="s">
        <v>196</v>
      </c>
      <c r="H270" s="65">
        <v>39000</v>
      </c>
      <c r="I270" s="65">
        <v>0</v>
      </c>
      <c r="K270" s="69">
        <f>N165/H270</f>
        <v>0</v>
      </c>
    </row>
    <row r="271" spans="4:11" s="65" customFormat="1" ht="12.75">
      <c r="D271" s="65" t="s">
        <v>198</v>
      </c>
      <c r="H271" s="65">
        <v>37000</v>
      </c>
      <c r="I271" s="65">
        <v>0</v>
      </c>
      <c r="K271" s="69">
        <f>N166/H271</f>
        <v>0.07828108108108109</v>
      </c>
    </row>
    <row r="272" s="65" customFormat="1" ht="12.75">
      <c r="K272" s="69"/>
    </row>
    <row r="273" spans="4:11" s="65" customFormat="1" ht="12.75">
      <c r="D273" s="65" t="s">
        <v>238</v>
      </c>
      <c r="K273" s="69"/>
    </row>
    <row r="274" spans="4:11" s="65" customFormat="1" ht="12.75">
      <c r="D274" s="65" t="s">
        <v>239</v>
      </c>
      <c r="F274" s="65" t="s">
        <v>240</v>
      </c>
      <c r="K274" s="69"/>
    </row>
    <row r="275" spans="4:11" s="65" customFormat="1" ht="12.75">
      <c r="D275" s="65" t="s">
        <v>191</v>
      </c>
      <c r="K275" s="69"/>
    </row>
    <row r="276" spans="4:11" s="65" customFormat="1" ht="12.75">
      <c r="D276" s="65" t="s">
        <v>158</v>
      </c>
      <c r="H276" s="65">
        <v>450</v>
      </c>
      <c r="I276" s="65">
        <v>0</v>
      </c>
      <c r="K276" s="69">
        <f>N169/H276</f>
        <v>0</v>
      </c>
    </row>
    <row r="277" spans="4:11" s="65" customFormat="1" ht="12.75">
      <c r="D277" s="65" t="s">
        <v>196</v>
      </c>
      <c r="H277" s="65">
        <v>375</v>
      </c>
      <c r="I277" s="65">
        <v>0</v>
      </c>
      <c r="K277" s="69">
        <f>N170/H277</f>
        <v>0</v>
      </c>
    </row>
    <row r="278" spans="4:11" s="65" customFormat="1" ht="12.75">
      <c r="D278" s="65" t="s">
        <v>198</v>
      </c>
      <c r="H278" s="65">
        <v>310</v>
      </c>
      <c r="I278" s="65">
        <v>0</v>
      </c>
      <c r="K278" s="69">
        <f>N171/H278</f>
        <v>0.1935483870967742</v>
      </c>
    </row>
    <row r="279" spans="5:11" s="65" customFormat="1" ht="12.75">
      <c r="E279" s="65" t="s">
        <v>201</v>
      </c>
      <c r="G279" s="65">
        <v>0</v>
      </c>
      <c r="I279" s="65">
        <v>0</v>
      </c>
      <c r="K279" s="69"/>
    </row>
    <row r="280" s="65" customFormat="1" ht="12.75">
      <c r="K280" s="69"/>
    </row>
    <row r="281" spans="1:11" s="65" customFormat="1" ht="12.75">
      <c r="A281" s="65" t="s">
        <v>241</v>
      </c>
      <c r="B281" s="65" t="s">
        <v>242</v>
      </c>
      <c r="D281" s="65" t="s">
        <v>243</v>
      </c>
      <c r="K281" s="69"/>
    </row>
    <row r="282" spans="4:11" s="65" customFormat="1" ht="12.75">
      <c r="D282" s="65" t="s">
        <v>244</v>
      </c>
      <c r="F282" s="65" t="s">
        <v>240</v>
      </c>
      <c r="K282" s="69"/>
    </row>
    <row r="283" spans="4:11" s="65" customFormat="1" ht="12.75">
      <c r="D283" s="65" t="s">
        <v>245</v>
      </c>
      <c r="K283" s="69"/>
    </row>
    <row r="284" spans="4:11" s="65" customFormat="1" ht="12.75">
      <c r="D284" s="65" t="s">
        <v>158</v>
      </c>
      <c r="H284" s="65">
        <v>2350</v>
      </c>
      <c r="I284" s="65">
        <v>0</v>
      </c>
      <c r="K284" s="69">
        <f>N169/H284</f>
        <v>0</v>
      </c>
    </row>
    <row r="285" spans="4:11" s="65" customFormat="1" ht="12.75">
      <c r="D285" s="65" t="s">
        <v>196</v>
      </c>
      <c r="H285" s="65">
        <v>2250</v>
      </c>
      <c r="I285" s="65">
        <v>0</v>
      </c>
      <c r="K285" s="69">
        <f>N170/H285</f>
        <v>0</v>
      </c>
    </row>
    <row r="286" spans="4:11" s="65" customFormat="1" ht="12.75">
      <c r="D286" s="65" t="s">
        <v>198</v>
      </c>
      <c r="H286" s="65">
        <v>2200</v>
      </c>
      <c r="I286" s="65">
        <v>0</v>
      </c>
      <c r="K286" s="69">
        <f>N171/H286</f>
        <v>0.02727272727272727</v>
      </c>
    </row>
    <row r="287" spans="5:11" s="65" customFormat="1" ht="12.75">
      <c r="E287" s="65" t="s">
        <v>201</v>
      </c>
      <c r="G287" s="65">
        <v>0</v>
      </c>
      <c r="I287" s="65">
        <v>0</v>
      </c>
      <c r="K287" s="69"/>
    </row>
    <row r="288" s="65" customFormat="1" ht="12.75">
      <c r="K288" s="69">
        <f>K150+K151+K152+K160+K161+K162+K167+K168+K169+K173+K174+K175+K181+K182+K183+K187+K188+K189+K195+K196+K197+K201+K202+K203+K209+K210+K211+K215+K216+K217+K224+K225+K226+K230+K231+K232+K236+K237+K238+K245+K246+K247+K252+K253+K254+K258+K259+K260+K269+K270+K271+K276+K277+K278+K284+K285+K286</f>
        <v>0.6832141106505826</v>
      </c>
    </row>
    <row r="289" spans="1:11" s="65" customFormat="1" ht="12.75">
      <c r="A289" s="65" t="s">
        <v>246</v>
      </c>
      <c r="B289" s="65" t="s">
        <v>247</v>
      </c>
      <c r="F289" s="65" t="s">
        <v>248</v>
      </c>
      <c r="I289" s="65">
        <v>1</v>
      </c>
      <c r="K289" s="69">
        <f>K288*1.12</f>
        <v>0.7651998039286525</v>
      </c>
    </row>
    <row r="290" s="65" customFormat="1" ht="12.75">
      <c r="B290" s="65" t="s">
        <v>249</v>
      </c>
    </row>
    <row r="291" s="65" customFormat="1" ht="12.75">
      <c r="B291" s="65" t="s">
        <v>250</v>
      </c>
    </row>
    <row r="292" s="65" customFormat="1" ht="12.75"/>
    <row r="293" spans="1:9" s="65" customFormat="1" ht="12.75">
      <c r="A293" s="65" t="s">
        <v>251</v>
      </c>
      <c r="B293" s="65" t="s">
        <v>252</v>
      </c>
      <c r="I293" s="65">
        <v>2</v>
      </c>
    </row>
    <row r="294" spans="1:9" s="65" customFormat="1" ht="12.75">
      <c r="A294" s="65" t="s">
        <v>253</v>
      </c>
      <c r="B294" s="65" t="s">
        <v>254</v>
      </c>
      <c r="I294" s="65">
        <v>1</v>
      </c>
    </row>
    <row r="295" spans="1:9" s="65" customFormat="1" ht="12.75">
      <c r="A295" s="65" t="s">
        <v>255</v>
      </c>
      <c r="B295" s="65" t="s">
        <v>256</v>
      </c>
      <c r="I295" s="65">
        <v>1</v>
      </c>
    </row>
    <row r="296" spans="2:9" s="65" customFormat="1" ht="12.75">
      <c r="B296" s="65" t="s">
        <v>257</v>
      </c>
      <c r="I296" s="65">
        <v>5</v>
      </c>
    </row>
    <row r="297" s="65" customFormat="1" ht="12.75">
      <c r="F297" s="65" t="s">
        <v>258</v>
      </c>
    </row>
    <row r="298" spans="1:9" s="65" customFormat="1" ht="12.75">
      <c r="A298" s="65" t="s">
        <v>259</v>
      </c>
      <c r="B298" s="65" t="s">
        <v>260</v>
      </c>
      <c r="E298" s="65" t="s">
        <v>261</v>
      </c>
      <c r="H298" s="65">
        <v>1200</v>
      </c>
      <c r="I298" s="65">
        <f>G298/H298</f>
        <v>0</v>
      </c>
    </row>
    <row r="299" spans="5:9" s="65" customFormat="1" ht="12.75">
      <c r="E299" s="65" t="s">
        <v>262</v>
      </c>
      <c r="G299" s="65">
        <v>369</v>
      </c>
      <c r="H299" s="65">
        <v>1650</v>
      </c>
      <c r="I299" s="69">
        <f>G299/H299</f>
        <v>0.22363636363636363</v>
      </c>
    </row>
    <row r="300" spans="5:9" s="65" customFormat="1" ht="12.75">
      <c r="E300" s="65" t="s">
        <v>263</v>
      </c>
      <c r="G300" s="65">
        <v>4201</v>
      </c>
      <c r="H300" s="65">
        <v>9000</v>
      </c>
      <c r="I300" s="69">
        <f>G300/H300</f>
        <v>0.4667777777777778</v>
      </c>
    </row>
    <row r="301" spans="3:9" s="65" customFormat="1" ht="12.75">
      <c r="C301" s="65" t="s">
        <v>201</v>
      </c>
      <c r="G301" s="65">
        <f>G298+G299+G300</f>
        <v>4570</v>
      </c>
      <c r="I301" s="69">
        <f>I298+I299+I300</f>
        <v>0.6904141414141414</v>
      </c>
    </row>
    <row r="302" s="65" customFormat="1" ht="12.75">
      <c r="F302" s="65" t="s">
        <v>258</v>
      </c>
    </row>
    <row r="303" spans="1:9" s="65" customFormat="1" ht="12.75">
      <c r="A303" s="65" t="s">
        <v>264</v>
      </c>
      <c r="B303" s="65" t="s">
        <v>265</v>
      </c>
      <c r="E303" s="65" t="s">
        <v>266</v>
      </c>
      <c r="G303" s="65">
        <v>276.5</v>
      </c>
      <c r="H303" s="65">
        <v>800</v>
      </c>
      <c r="I303" s="69">
        <f>G303/H303</f>
        <v>0.345625</v>
      </c>
    </row>
    <row r="304" spans="2:9" s="65" customFormat="1" ht="12.75">
      <c r="B304" s="65" t="s">
        <v>267</v>
      </c>
      <c r="E304" s="65" t="s">
        <v>268</v>
      </c>
      <c r="H304" s="65">
        <v>960</v>
      </c>
      <c r="I304" s="69">
        <f>G304/H304</f>
        <v>0</v>
      </c>
    </row>
    <row r="305" s="65" customFormat="1" ht="12.75">
      <c r="E305" s="65" t="s">
        <v>269</v>
      </c>
    </row>
    <row r="306" spans="3:9" s="65" customFormat="1" ht="12.75">
      <c r="C306" s="65" t="s">
        <v>201</v>
      </c>
      <c r="G306" s="65">
        <f>G303+G304+G305</f>
        <v>276.5</v>
      </c>
      <c r="I306" s="69">
        <f>I303+I304</f>
        <v>0.345625</v>
      </c>
    </row>
    <row r="307" s="65" customFormat="1" ht="12.75">
      <c r="F307" s="65" t="s">
        <v>270</v>
      </c>
    </row>
    <row r="308" spans="1:9" s="65" customFormat="1" ht="12.75">
      <c r="A308" s="65" t="s">
        <v>271</v>
      </c>
      <c r="B308" s="65" t="s">
        <v>272</v>
      </c>
      <c r="E308" s="65" t="s">
        <v>273</v>
      </c>
      <c r="H308" s="65">
        <v>500</v>
      </c>
      <c r="I308" s="69">
        <f>G308/H308</f>
        <v>0</v>
      </c>
    </row>
    <row r="309" spans="5:9" s="65" customFormat="1" ht="12.75">
      <c r="E309" s="65" t="s">
        <v>274</v>
      </c>
      <c r="H309" s="65">
        <v>700</v>
      </c>
      <c r="I309" s="69">
        <f>G309/H309</f>
        <v>0</v>
      </c>
    </row>
    <row r="310" s="65" customFormat="1" ht="12.75">
      <c r="E310" s="65" t="s">
        <v>275</v>
      </c>
    </row>
    <row r="311" spans="3:9" s="65" customFormat="1" ht="12.75">
      <c r="C311" s="65" t="s">
        <v>201</v>
      </c>
      <c r="G311" s="65">
        <f>G308+G309</f>
        <v>0</v>
      </c>
      <c r="I311" s="69">
        <f>I308+I309</f>
        <v>0</v>
      </c>
    </row>
    <row r="312" spans="1:2" s="65" customFormat="1" ht="12.75">
      <c r="A312" s="65" t="s">
        <v>276</v>
      </c>
      <c r="B312" s="65" t="s">
        <v>277</v>
      </c>
    </row>
    <row r="313" spans="2:9" s="65" customFormat="1" ht="12.75">
      <c r="B313" s="65" t="s">
        <v>278</v>
      </c>
      <c r="I313" s="65">
        <v>2</v>
      </c>
    </row>
  </sheetData>
  <sheetProtection/>
  <mergeCells count="43">
    <mergeCell ref="A120:D120"/>
    <mergeCell ref="C101:I101"/>
    <mergeCell ref="A110:G110"/>
    <mergeCell ref="A114:E114"/>
    <mergeCell ref="A116:G116"/>
    <mergeCell ref="A72:G72"/>
    <mergeCell ref="A73:D73"/>
    <mergeCell ref="E73:G73"/>
    <mergeCell ref="A74:E74"/>
    <mergeCell ref="A57:G57"/>
    <mergeCell ref="A60:D60"/>
    <mergeCell ref="A61:F61"/>
    <mergeCell ref="A64:E64"/>
    <mergeCell ref="C68:D68"/>
    <mergeCell ref="A71:F71"/>
    <mergeCell ref="A44:F44"/>
    <mergeCell ref="A45:F45"/>
    <mergeCell ref="A50:F50"/>
    <mergeCell ref="A54:G54"/>
    <mergeCell ref="A56:G56"/>
    <mergeCell ref="A37:G37"/>
    <mergeCell ref="A38:G38"/>
    <mergeCell ref="A39:G39"/>
    <mergeCell ref="A41:G41"/>
    <mergeCell ref="A42:G42"/>
    <mergeCell ref="A43:G43"/>
    <mergeCell ref="A29:G29"/>
    <mergeCell ref="A31:E31"/>
    <mergeCell ref="A33:G33"/>
    <mergeCell ref="A34:G34"/>
    <mergeCell ref="A35:G35"/>
    <mergeCell ref="A36:G36"/>
    <mergeCell ref="A15:G15"/>
    <mergeCell ref="A19:F19"/>
    <mergeCell ref="A21:F21"/>
    <mergeCell ref="A25:F25"/>
    <mergeCell ref="A27:G27"/>
    <mergeCell ref="A28:G28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7 M57 M60 M67 L77:M77 H104:H106 H108 H110 K110 H116 H118 H120 H122 H124" evalError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P351"/>
  <sheetViews>
    <sheetView zoomScalePageLayoutView="0" workbookViewId="0" topLeftCell="A1">
      <selection activeCell="A60" sqref="A60:G60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7" width="9.140625" style="6" customWidth="1"/>
    <col min="8" max="8" width="9.421875" style="6" customWidth="1"/>
    <col min="9" max="9" width="11.140625" style="6" customWidth="1"/>
    <col min="10" max="10" width="8.28125" style="6" hidden="1" customWidth="1"/>
    <col min="11" max="11" width="14.00390625" style="6" customWidth="1"/>
    <col min="12" max="12" width="13.421875" style="65" customWidth="1"/>
    <col min="13" max="13" width="10.7109375" style="65" bestFit="1" customWidth="1"/>
    <col min="14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27" t="s">
        <v>447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 customHeight="1">
      <c r="A5" s="129" t="s">
        <v>785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" customHeight="1">
      <c r="A6" s="14" t="s">
        <v>419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f>21341.45*1.042</f>
        <v>22237.7909</v>
      </c>
      <c r="F12" s="9" t="s">
        <v>70</v>
      </c>
      <c r="H12" s="13"/>
      <c r="I12" s="13"/>
      <c r="K12" s="13"/>
      <c r="L12" s="67">
        <f>E14</f>
        <v>25912.96658</v>
      </c>
      <c r="M12" s="67"/>
      <c r="N12" s="67"/>
      <c r="O12" s="67"/>
      <c r="P12" s="67"/>
    </row>
    <row r="13" spans="1:16" s="9" customFormat="1" ht="15.75">
      <c r="A13" s="11" t="s">
        <v>420</v>
      </c>
      <c r="B13" s="11"/>
      <c r="C13" s="12"/>
      <c r="D13" s="11"/>
      <c r="E13" s="9">
        <f>3527.04*1.042</f>
        <v>3675.1756800000003</v>
      </c>
      <c r="F13" s="9" t="s">
        <v>70</v>
      </c>
      <c r="H13" s="13"/>
      <c r="I13" s="13"/>
      <c r="K13" s="13"/>
      <c r="L13" s="92" t="e">
        <f>K20+K38+K66+K84+#REF!+K94</f>
        <v>#REF!</v>
      </c>
      <c r="M13" s="67"/>
      <c r="N13" s="67"/>
      <c r="O13" s="67"/>
      <c r="P13" s="67"/>
    </row>
    <row r="14" spans="1:16" s="9" customFormat="1" ht="15.75">
      <c r="A14" s="11" t="s">
        <v>421</v>
      </c>
      <c r="B14" s="11"/>
      <c r="C14" s="12"/>
      <c r="D14" s="11"/>
      <c r="E14" s="9">
        <f>E12+E13</f>
        <v>25912.96658</v>
      </c>
      <c r="F14" s="9" t="s">
        <v>70</v>
      </c>
      <c r="H14" s="13"/>
      <c r="I14" s="13"/>
      <c r="K14" s="13"/>
      <c r="L14" s="92" t="e">
        <f>L12-L13</f>
        <v>#REF!</v>
      </c>
      <c r="M14" s="67"/>
      <c r="N14" s="67"/>
      <c r="O14" s="67"/>
      <c r="P14" s="67"/>
    </row>
    <row r="15" spans="1:16" s="9" customFormat="1" ht="15.75" customHeight="1">
      <c r="A15" s="118"/>
      <c r="B15" s="118"/>
      <c r="C15" s="118"/>
      <c r="D15" s="118"/>
      <c r="E15" s="118"/>
      <c r="F15" s="118"/>
      <c r="G15" s="118"/>
      <c r="H15" s="118"/>
      <c r="K15" s="14"/>
      <c r="L15" s="67"/>
      <c r="M15" s="67"/>
      <c r="N15" s="67"/>
      <c r="O15" s="67"/>
      <c r="P15" s="67"/>
    </row>
    <row r="16" spans="3:16" s="9" customFormat="1" ht="15.75">
      <c r="C16" s="15" t="s">
        <v>71</v>
      </c>
      <c r="D16" s="15"/>
      <c r="K16" s="5"/>
      <c r="L16" s="67"/>
      <c r="M16" s="67"/>
      <c r="N16" s="67"/>
      <c r="O16" s="67"/>
      <c r="P16" s="67"/>
    </row>
    <row r="17" spans="1:13" ht="15.75">
      <c r="A17" s="114" t="s">
        <v>72</v>
      </c>
      <c r="B17" s="114"/>
      <c r="C17" s="114"/>
      <c r="D17" s="114"/>
      <c r="E17" s="114"/>
      <c r="F17" s="114"/>
      <c r="G17" s="114"/>
      <c r="H17" s="16"/>
      <c r="I17" s="16"/>
      <c r="J17" s="16"/>
      <c r="K17" s="17">
        <f>K20+K38+K66+K84+K94+K110</f>
        <v>24252.675152737982</v>
      </c>
      <c r="L17" s="68"/>
      <c r="M17" s="65" t="s">
        <v>786</v>
      </c>
    </row>
    <row r="18" spans="1:11" ht="15.75">
      <c r="A18" s="15"/>
      <c r="B18" s="15"/>
      <c r="C18" s="19"/>
      <c r="D18" s="15"/>
      <c r="E18" s="15"/>
      <c r="F18" s="15"/>
      <c r="G18" s="15"/>
      <c r="H18" s="15"/>
      <c r="I18" s="15"/>
      <c r="J18" s="15"/>
      <c r="K18" s="18"/>
    </row>
    <row r="19" spans="1:13" ht="15.75">
      <c r="A19" s="15"/>
      <c r="B19" s="15"/>
      <c r="C19" s="19"/>
      <c r="D19" s="15"/>
      <c r="E19" s="15"/>
      <c r="F19" s="15"/>
      <c r="G19" s="15"/>
      <c r="H19" s="15"/>
      <c r="I19" s="15"/>
      <c r="J19" s="15"/>
      <c r="K19" s="18"/>
      <c r="L19" s="69"/>
      <c r="M19" s="65" t="s">
        <v>310</v>
      </c>
    </row>
    <row r="20" spans="1:15" ht="15.75">
      <c r="A20" s="20" t="s">
        <v>147</v>
      </c>
      <c r="B20" s="20"/>
      <c r="C20" s="20"/>
      <c r="D20" s="20"/>
      <c r="E20" s="20"/>
      <c r="F20" s="20"/>
      <c r="G20" s="20"/>
      <c r="H20" s="20"/>
      <c r="I20" s="21"/>
      <c r="J20" s="20"/>
      <c r="K20" s="21">
        <f>H22+H24+H25+H28+H30+H32+H34+H36</f>
        <v>5944.517029423988</v>
      </c>
      <c r="M20" s="65" t="s">
        <v>76</v>
      </c>
      <c r="O20" s="69">
        <f>I339</f>
        <v>0.8041616161616161</v>
      </c>
    </row>
    <row r="21" spans="1:15" ht="12.75">
      <c r="A21" s="22" t="s">
        <v>77</v>
      </c>
      <c r="B21" s="22"/>
      <c r="C21" s="22"/>
      <c r="D21" s="22"/>
      <c r="E21" s="22"/>
      <c r="F21" s="22"/>
      <c r="G21" s="22"/>
      <c r="H21" s="22"/>
      <c r="I21" s="22"/>
      <c r="J21" s="22">
        <v>2972395.8</v>
      </c>
      <c r="K21" s="23"/>
      <c r="M21" s="65" t="s">
        <v>78</v>
      </c>
      <c r="O21" s="69">
        <f>I344</f>
        <v>0.3375</v>
      </c>
    </row>
    <row r="22" spans="1:15" ht="12.75">
      <c r="A22" s="113" t="s">
        <v>787</v>
      </c>
      <c r="B22" s="113"/>
      <c r="C22" s="113"/>
      <c r="D22" s="113"/>
      <c r="E22" s="113"/>
      <c r="F22" s="113"/>
      <c r="G22" s="22"/>
      <c r="H22" s="23">
        <f>O20*2600*1.75*1.07</f>
        <v>3915.060828282828</v>
      </c>
      <c r="I22" s="22"/>
      <c r="J22" s="22"/>
      <c r="K22" s="23"/>
      <c r="M22" s="65" t="s">
        <v>80</v>
      </c>
      <c r="O22" s="69"/>
    </row>
    <row r="23" spans="1:15" ht="12.75">
      <c r="A23" s="24"/>
      <c r="B23" s="24"/>
      <c r="C23" s="24"/>
      <c r="D23" s="24"/>
      <c r="E23" s="24"/>
      <c r="F23" s="24"/>
      <c r="G23" s="22"/>
      <c r="H23" s="23"/>
      <c r="I23" s="22"/>
      <c r="J23" s="22"/>
      <c r="K23" s="23"/>
      <c r="M23" s="65" t="s">
        <v>82</v>
      </c>
      <c r="O23" s="69">
        <v>2707.7</v>
      </c>
    </row>
    <row r="24" spans="1:15" ht="12.75">
      <c r="A24" s="113" t="s">
        <v>788</v>
      </c>
      <c r="B24" s="113"/>
      <c r="C24" s="113"/>
      <c r="D24" s="113"/>
      <c r="E24" s="113"/>
      <c r="F24" s="113"/>
      <c r="G24" s="22"/>
      <c r="H24" s="23">
        <f>O21*2203*1.3*1.07</f>
        <v>1034.2258875000002</v>
      </c>
      <c r="I24" s="22"/>
      <c r="J24" s="22"/>
      <c r="K24" s="23"/>
      <c r="M24" s="65" t="s">
        <v>83</v>
      </c>
      <c r="O24" s="65">
        <v>142</v>
      </c>
    </row>
    <row r="25" spans="1:16" ht="12.75">
      <c r="A25" s="23">
        <f>H22+H24</f>
        <v>4949.286715782828</v>
      </c>
      <c r="B25" s="22" t="s">
        <v>84</v>
      </c>
      <c r="C25" s="22"/>
      <c r="D25" s="22"/>
      <c r="E25" s="22"/>
      <c r="F25" s="22"/>
      <c r="G25" s="22"/>
      <c r="H25" s="23">
        <f>(H22+H24)*14.2%</f>
        <v>702.7987136411615</v>
      </c>
      <c r="I25" s="22"/>
      <c r="J25" s="22">
        <v>781740.1</v>
      </c>
      <c r="K25" s="25"/>
      <c r="L25" s="70"/>
      <c r="M25" s="65" t="s">
        <v>85</v>
      </c>
      <c r="P25" s="65">
        <f>O25/2</f>
        <v>0</v>
      </c>
    </row>
    <row r="26" spans="1:16" ht="12.75">
      <c r="A26" s="22" t="s">
        <v>86</v>
      </c>
      <c r="B26" s="22"/>
      <c r="C26" s="22"/>
      <c r="D26" s="22"/>
      <c r="E26" s="22"/>
      <c r="F26" s="22"/>
      <c r="G26" s="22"/>
      <c r="H26" s="23"/>
      <c r="I26" s="22"/>
      <c r="J26" s="22">
        <v>113966.82</v>
      </c>
      <c r="K26" s="23"/>
      <c r="N26" s="65">
        <v>9</v>
      </c>
      <c r="P26" s="65">
        <f>O26/2</f>
        <v>0</v>
      </c>
    </row>
    <row r="27" spans="1:11" ht="12.75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3"/>
    </row>
    <row r="28" spans="1:16" ht="12.75">
      <c r="A28" s="113" t="s">
        <v>789</v>
      </c>
      <c r="B28" s="113"/>
      <c r="C28" s="113"/>
      <c r="D28" s="113"/>
      <c r="E28" s="113"/>
      <c r="F28" s="113"/>
      <c r="G28" s="22"/>
      <c r="H28" s="23">
        <f>0.057*O23</f>
        <v>154.3389</v>
      </c>
      <c r="I28" s="23"/>
      <c r="J28" s="22"/>
      <c r="K28" s="23"/>
      <c r="N28" s="65">
        <v>10</v>
      </c>
      <c r="P28" s="65">
        <f>O28/2</f>
        <v>0</v>
      </c>
    </row>
    <row r="29" spans="1:11" ht="12.75">
      <c r="A29" s="24"/>
      <c r="B29" s="24"/>
      <c r="C29" s="24"/>
      <c r="D29" s="24"/>
      <c r="E29" s="24"/>
      <c r="F29" s="24"/>
      <c r="G29" s="22"/>
      <c r="H29" s="23"/>
      <c r="I29" s="23"/>
      <c r="J29" s="22"/>
      <c r="K29" s="23"/>
    </row>
    <row r="30" spans="1:14" ht="12.75">
      <c r="A30" s="113" t="s">
        <v>790</v>
      </c>
      <c r="B30" s="113"/>
      <c r="C30" s="113"/>
      <c r="D30" s="113"/>
      <c r="E30" s="113"/>
      <c r="F30" s="113"/>
      <c r="G30" s="113"/>
      <c r="H30" s="23">
        <f>0.0085*O23</f>
        <v>23.01545</v>
      </c>
      <c r="I30" s="23"/>
      <c r="J30" s="22"/>
      <c r="K30" s="23"/>
      <c r="N30" s="65">
        <v>16</v>
      </c>
    </row>
    <row r="31" spans="1:11" ht="12.75">
      <c r="A31" s="24"/>
      <c r="B31" s="24"/>
      <c r="C31" s="24"/>
      <c r="D31" s="24"/>
      <c r="E31" s="24"/>
      <c r="F31" s="24"/>
      <c r="G31" s="24"/>
      <c r="H31" s="23"/>
      <c r="I31" s="23"/>
      <c r="J31" s="22"/>
      <c r="K31" s="23"/>
    </row>
    <row r="32" spans="1:13" ht="12.75">
      <c r="A32" s="113" t="s">
        <v>791</v>
      </c>
      <c r="B32" s="113"/>
      <c r="C32" s="113"/>
      <c r="D32" s="113"/>
      <c r="E32" s="113"/>
      <c r="F32" s="113"/>
      <c r="G32" s="113"/>
      <c r="H32" s="23">
        <f>0.005*O23</f>
        <v>13.538499999999999</v>
      </c>
      <c r="I32" s="22"/>
      <c r="J32" s="22"/>
      <c r="K32" s="23"/>
      <c r="M32" s="65" t="s">
        <v>90</v>
      </c>
    </row>
    <row r="33" spans="1:11" ht="12.75">
      <c r="A33" s="24"/>
      <c r="B33" s="24"/>
      <c r="C33" s="24"/>
      <c r="D33" s="24"/>
      <c r="E33" s="24"/>
      <c r="F33" s="24"/>
      <c r="G33" s="24"/>
      <c r="H33" s="23"/>
      <c r="I33" s="22"/>
      <c r="J33" s="22"/>
      <c r="K33" s="23"/>
    </row>
    <row r="34" spans="1:15" ht="12.75">
      <c r="A34" s="113" t="s">
        <v>792</v>
      </c>
      <c r="B34" s="113"/>
      <c r="C34" s="113"/>
      <c r="D34" s="113"/>
      <c r="E34" s="113"/>
      <c r="F34" s="113"/>
      <c r="G34" s="113"/>
      <c r="H34" s="23">
        <f>O23*0.017</f>
        <v>46.0309</v>
      </c>
      <c r="I34" s="22"/>
      <c r="J34" s="22">
        <v>13606.82</v>
      </c>
      <c r="K34" s="23"/>
      <c r="M34" s="65" t="s">
        <v>92</v>
      </c>
      <c r="O34" s="65">
        <v>24</v>
      </c>
    </row>
    <row r="35" spans="1:11" ht="12.75">
      <c r="A35" s="24"/>
      <c r="B35" s="24"/>
      <c r="C35" s="24"/>
      <c r="D35" s="24"/>
      <c r="E35" s="24"/>
      <c r="F35" s="24"/>
      <c r="G35" s="24"/>
      <c r="H35" s="23"/>
      <c r="I35" s="22"/>
      <c r="J35" s="22"/>
      <c r="K35" s="23"/>
    </row>
    <row r="36" spans="1:15" ht="12.75">
      <c r="A36" s="113" t="s">
        <v>93</v>
      </c>
      <c r="B36" s="113"/>
      <c r="C36" s="113"/>
      <c r="D36" s="113"/>
      <c r="E36" s="113"/>
      <c r="F36" s="113"/>
      <c r="G36" s="113"/>
      <c r="H36" s="23">
        <f>0.0205*O23</f>
        <v>55.50785</v>
      </c>
      <c r="I36" s="22"/>
      <c r="J36" s="22"/>
      <c r="K36" s="23"/>
      <c r="M36" s="65" t="s">
        <v>94</v>
      </c>
      <c r="O36" s="65">
        <v>620</v>
      </c>
    </row>
    <row r="37" spans="1:11" ht="12.75">
      <c r="A37" s="24"/>
      <c r="B37" s="24"/>
      <c r="C37" s="24"/>
      <c r="D37" s="24"/>
      <c r="E37" s="24"/>
      <c r="F37" s="24"/>
      <c r="G37" s="24"/>
      <c r="H37" s="23"/>
      <c r="I37" s="22"/>
      <c r="J37" s="22"/>
      <c r="K37" s="23"/>
    </row>
    <row r="38" spans="1:15" ht="15.75">
      <c r="A38" s="110" t="s">
        <v>95</v>
      </c>
      <c r="B38" s="110"/>
      <c r="C38" s="110"/>
      <c r="D38" s="110"/>
      <c r="E38" s="110"/>
      <c r="F38" s="20"/>
      <c r="G38" s="20"/>
      <c r="H38" s="27"/>
      <c r="I38" s="20"/>
      <c r="J38" s="20"/>
      <c r="K38" s="21">
        <f>H40+H42+H44+H46+H48+H50+H52+H56+H58+H60+H62+H64+H54</f>
        <v>5438.843953000001</v>
      </c>
      <c r="M38" s="65" t="s">
        <v>96</v>
      </c>
      <c r="O38" s="69">
        <f>K327</f>
        <v>0.7551691261284365</v>
      </c>
    </row>
    <row r="39" spans="1:15" ht="12.75">
      <c r="A39" s="22"/>
      <c r="B39" s="22" t="s">
        <v>64</v>
      </c>
      <c r="C39" s="22"/>
      <c r="D39" s="22"/>
      <c r="E39" s="22"/>
      <c r="F39" s="22"/>
      <c r="G39" s="22"/>
      <c r="H39" s="28"/>
      <c r="I39" s="22"/>
      <c r="J39" s="22"/>
      <c r="K39" s="29"/>
      <c r="M39" s="65" t="s">
        <v>97</v>
      </c>
      <c r="O39" s="69">
        <f>O24*1.5/12/11.25</f>
        <v>1.5777777777777777</v>
      </c>
    </row>
    <row r="40" spans="1:11" ht="12.75">
      <c r="A40" s="113" t="s">
        <v>793</v>
      </c>
      <c r="B40" s="113"/>
      <c r="C40" s="113"/>
      <c r="D40" s="113"/>
      <c r="E40" s="113"/>
      <c r="F40" s="113"/>
      <c r="G40" s="113"/>
      <c r="H40" s="28">
        <f>(O24*1.5)/12*90.3*1.058</f>
        <v>1695.7888500000001</v>
      </c>
      <c r="I40" s="22"/>
      <c r="J40" s="22"/>
      <c r="K40" s="29"/>
    </row>
    <row r="41" spans="1:11" ht="12.75">
      <c r="A41" s="24"/>
      <c r="B41" s="24"/>
      <c r="C41" s="24"/>
      <c r="D41" s="24"/>
      <c r="E41" s="24"/>
      <c r="F41" s="24"/>
      <c r="G41" s="24"/>
      <c r="H41" s="28"/>
      <c r="I41" s="22"/>
      <c r="J41" s="22"/>
      <c r="K41" s="29"/>
    </row>
    <row r="42" spans="1:11" ht="12.75">
      <c r="A42" s="113" t="s">
        <v>794</v>
      </c>
      <c r="B42" s="113"/>
      <c r="C42" s="113"/>
      <c r="D42" s="113"/>
      <c r="E42" s="113"/>
      <c r="F42" s="113"/>
      <c r="G42" s="113"/>
      <c r="H42" s="28">
        <f>O24*1.5*33.1/12*1.058</f>
        <v>621.60145</v>
      </c>
      <c r="I42" s="22"/>
      <c r="J42" s="22"/>
      <c r="K42" s="29"/>
    </row>
    <row r="43" spans="1:11" ht="12.75">
      <c r="A43" s="24"/>
      <c r="B43" s="24"/>
      <c r="C43" s="24"/>
      <c r="D43" s="24"/>
      <c r="E43" s="24"/>
      <c r="F43" s="24"/>
      <c r="G43" s="24"/>
      <c r="H43" s="28"/>
      <c r="I43" s="22"/>
      <c r="J43" s="22"/>
      <c r="K43" s="29"/>
    </row>
    <row r="44" spans="1:11" ht="12.75">
      <c r="A44" s="113" t="s">
        <v>795</v>
      </c>
      <c r="B44" s="113"/>
      <c r="C44" s="113"/>
      <c r="D44" s="113"/>
      <c r="E44" s="113"/>
      <c r="F44" s="113"/>
      <c r="G44" s="113"/>
      <c r="H44" s="28">
        <f>O36*2.24*1.229</f>
        <v>1706.8352000000004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1" ht="12.75">
      <c r="A46" s="113" t="s">
        <v>796</v>
      </c>
      <c r="B46" s="113"/>
      <c r="C46" s="113"/>
      <c r="D46" s="113"/>
      <c r="E46" s="113"/>
      <c r="F46" s="113"/>
      <c r="G46" s="113"/>
      <c r="H46" s="28">
        <f>O23*0.028</f>
        <v>75.8156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2.75">
      <c r="A48" s="113" t="s">
        <v>797</v>
      </c>
      <c r="B48" s="113"/>
      <c r="C48" s="113"/>
      <c r="D48" s="113"/>
      <c r="E48" s="113"/>
      <c r="F48" s="113"/>
      <c r="G48" s="113"/>
      <c r="H48" s="28">
        <f>O23*0.0027</f>
        <v>7.31079</v>
      </c>
      <c r="I48" s="22"/>
      <c r="J48" s="22"/>
      <c r="K48" s="29"/>
    </row>
    <row r="49" spans="1:11" ht="12.75">
      <c r="A49" s="24"/>
      <c r="B49" s="24"/>
      <c r="C49" s="24"/>
      <c r="D49" s="24"/>
      <c r="E49" s="24"/>
      <c r="F49" s="24"/>
      <c r="G49" s="24"/>
      <c r="H49" s="28"/>
      <c r="I49" s="22"/>
      <c r="J49" s="22"/>
      <c r="K49" s="29"/>
    </row>
    <row r="50" spans="1:11" ht="12.75">
      <c r="A50" s="113" t="s">
        <v>292</v>
      </c>
      <c r="B50" s="113"/>
      <c r="C50" s="113"/>
      <c r="D50" s="113"/>
      <c r="E50" s="113"/>
      <c r="F50" s="113"/>
      <c r="G50" s="113"/>
      <c r="H50" s="28">
        <f>O34*4.81/12</f>
        <v>9.62</v>
      </c>
      <c r="I50" s="22"/>
      <c r="J50" s="22"/>
      <c r="K50" s="29"/>
    </row>
    <row r="51" spans="1:11" ht="12.75">
      <c r="A51" s="24"/>
      <c r="B51" s="24"/>
      <c r="C51" s="24"/>
      <c r="D51" s="24"/>
      <c r="E51" s="24"/>
      <c r="F51" s="24"/>
      <c r="G51" s="24"/>
      <c r="H51" s="28"/>
      <c r="I51" s="22"/>
      <c r="J51" s="22"/>
      <c r="K51" s="29"/>
    </row>
    <row r="52" spans="1:11" ht="12.75">
      <c r="A52" s="113" t="s">
        <v>798</v>
      </c>
      <c r="B52" s="113"/>
      <c r="C52" s="113"/>
      <c r="D52" s="113"/>
      <c r="E52" s="113"/>
      <c r="F52" s="113"/>
      <c r="G52" s="113"/>
      <c r="H52" s="28">
        <f>O23*0.11*1.229</f>
        <v>366.053963</v>
      </c>
      <c r="I52" s="22"/>
      <c r="J52" s="22"/>
      <c r="K52" s="29"/>
    </row>
    <row r="53" spans="1:11" ht="12.75">
      <c r="A53" s="24"/>
      <c r="B53" s="24"/>
      <c r="C53" s="24"/>
      <c r="D53" s="24"/>
      <c r="E53" s="24"/>
      <c r="F53" s="24"/>
      <c r="G53" s="24"/>
      <c r="H53" s="28"/>
      <c r="I53" s="22"/>
      <c r="J53" s="22"/>
      <c r="K53" s="29"/>
    </row>
    <row r="54" spans="1:11" ht="12.75">
      <c r="A54" s="30" t="s">
        <v>799</v>
      </c>
      <c r="B54" s="30"/>
      <c r="C54" s="30"/>
      <c r="D54" s="30"/>
      <c r="E54" s="24"/>
      <c r="F54" s="24"/>
      <c r="G54" s="24"/>
      <c r="H54" s="28">
        <f>0.216*O23</f>
        <v>584.8632</v>
      </c>
      <c r="I54" s="22"/>
      <c r="J54" s="22"/>
      <c r="K54" s="29"/>
    </row>
    <row r="55" spans="1:11" ht="12.75">
      <c r="A55" s="30"/>
      <c r="B55" s="30"/>
      <c r="C55" s="30"/>
      <c r="D55" s="30"/>
      <c r="E55" s="24"/>
      <c r="F55" s="24"/>
      <c r="G55" s="24"/>
      <c r="H55" s="28"/>
      <c r="I55" s="22"/>
      <c r="J55" s="22"/>
      <c r="K55" s="29"/>
    </row>
    <row r="56" spans="1:11" ht="12.75">
      <c r="A56" s="113" t="s">
        <v>800</v>
      </c>
      <c r="B56" s="113"/>
      <c r="C56" s="113"/>
      <c r="D56" s="113"/>
      <c r="E56" s="113"/>
      <c r="F56" s="113"/>
      <c r="G56" s="113"/>
      <c r="H56" s="28">
        <f>O23*0.027</f>
        <v>73.1079</v>
      </c>
      <c r="I56" s="22"/>
      <c r="J56" s="32"/>
      <c r="K56" s="29"/>
    </row>
    <row r="57" spans="1:11" ht="12.75">
      <c r="A57" s="24"/>
      <c r="B57" s="24"/>
      <c r="C57" s="24"/>
      <c r="D57" s="24"/>
      <c r="E57" s="24"/>
      <c r="F57" s="24"/>
      <c r="G57" s="24"/>
      <c r="H57" s="28"/>
      <c r="I57" s="22"/>
      <c r="J57" s="32"/>
      <c r="K57" s="29"/>
    </row>
    <row r="58" spans="1:11" ht="12.75">
      <c r="A58" s="113" t="s">
        <v>801</v>
      </c>
      <c r="B58" s="113"/>
      <c r="C58" s="113"/>
      <c r="D58" s="113"/>
      <c r="E58" s="113"/>
      <c r="F58" s="113"/>
      <c r="G58" s="113"/>
      <c r="H58" s="28">
        <f>O23*0.022</f>
        <v>59.569399999999995</v>
      </c>
      <c r="I58" s="22"/>
      <c r="J58" s="22"/>
      <c r="K58" s="29"/>
    </row>
    <row r="59" spans="1:11" ht="12.75">
      <c r="A59" s="24"/>
      <c r="B59" s="24"/>
      <c r="C59" s="24"/>
      <c r="D59" s="24"/>
      <c r="E59" s="24"/>
      <c r="F59" s="24"/>
      <c r="G59" s="24"/>
      <c r="H59" s="28"/>
      <c r="I59" s="22"/>
      <c r="J59" s="22"/>
      <c r="K59" s="29"/>
    </row>
    <row r="60" spans="1:11" ht="12.75">
      <c r="A60" s="113" t="s">
        <v>802</v>
      </c>
      <c r="B60" s="113"/>
      <c r="C60" s="113"/>
      <c r="D60" s="113"/>
      <c r="E60" s="113"/>
      <c r="F60" s="113"/>
      <c r="G60" s="113"/>
      <c r="H60" s="28">
        <f>O23*0.021</f>
        <v>56.8617</v>
      </c>
      <c r="I60" s="22"/>
      <c r="J60" s="22"/>
      <c r="K60" s="29"/>
    </row>
    <row r="61" spans="1:11" ht="12.75">
      <c r="A61" s="24"/>
      <c r="B61" s="24"/>
      <c r="C61" s="24"/>
      <c r="D61" s="24"/>
      <c r="E61" s="24"/>
      <c r="F61" s="24"/>
      <c r="G61" s="24"/>
      <c r="H61" s="28"/>
      <c r="I61" s="22"/>
      <c r="J61" s="22"/>
      <c r="K61" s="29"/>
    </row>
    <row r="62" spans="1:11" ht="12.75">
      <c r="A62" s="113" t="s">
        <v>803</v>
      </c>
      <c r="B62" s="113"/>
      <c r="C62" s="113"/>
      <c r="D62" s="113"/>
      <c r="E62" s="113"/>
      <c r="F62" s="113"/>
      <c r="G62" s="24"/>
      <c r="H62" s="28">
        <f>O23*0.053</f>
        <v>143.50809999999998</v>
      </c>
      <c r="I62" s="22"/>
      <c r="J62" s="22"/>
      <c r="K62" s="29"/>
    </row>
    <row r="63" spans="1:11" ht="12.75">
      <c r="A63" s="24"/>
      <c r="B63" s="24"/>
      <c r="C63" s="24"/>
      <c r="D63" s="24"/>
      <c r="E63" s="24"/>
      <c r="F63" s="24"/>
      <c r="G63" s="24"/>
      <c r="H63" s="28"/>
      <c r="I63" s="22"/>
      <c r="J63" s="22"/>
      <c r="K63" s="29"/>
    </row>
    <row r="64" spans="1:11" ht="12.75">
      <c r="A64" s="113" t="s">
        <v>804</v>
      </c>
      <c r="B64" s="113"/>
      <c r="C64" s="113"/>
      <c r="D64" s="113"/>
      <c r="E64" s="113"/>
      <c r="F64" s="113"/>
      <c r="G64" s="24"/>
      <c r="H64" s="28">
        <f>O23*0.014</f>
        <v>37.9078</v>
      </c>
      <c r="I64" s="22"/>
      <c r="J64" s="22"/>
      <c r="K64" s="29"/>
    </row>
    <row r="65" spans="1:11" ht="12.75">
      <c r="A65" s="24"/>
      <c r="B65" s="24"/>
      <c r="C65" s="24"/>
      <c r="D65" s="24"/>
      <c r="E65" s="24"/>
      <c r="F65" s="24"/>
      <c r="G65" s="24"/>
      <c r="H65" s="28"/>
      <c r="I65" s="22"/>
      <c r="J65" s="22"/>
      <c r="K65" s="29"/>
    </row>
    <row r="66" spans="1:13" ht="15.75">
      <c r="A66" s="20" t="s">
        <v>111</v>
      </c>
      <c r="B66" s="20"/>
      <c r="C66" s="20"/>
      <c r="D66" s="20"/>
      <c r="E66" s="20"/>
      <c r="F66" s="20"/>
      <c r="G66" s="20"/>
      <c r="H66" s="27"/>
      <c r="I66" s="20"/>
      <c r="J66" s="20"/>
      <c r="K66" s="21">
        <f>H70+H72+H74+H76+H78+H80+H82</f>
        <v>8311.171990313991</v>
      </c>
      <c r="M66" s="71" t="e">
        <f>K66/309084*#REF!</f>
        <v>#REF!</v>
      </c>
    </row>
    <row r="67" spans="1:11" ht="12.75">
      <c r="A67" s="22"/>
      <c r="B67" s="22" t="s">
        <v>64</v>
      </c>
      <c r="C67" s="22"/>
      <c r="D67" s="22"/>
      <c r="E67" s="22"/>
      <c r="F67" s="22"/>
      <c r="G67" s="22"/>
      <c r="H67" s="28"/>
      <c r="I67" s="22"/>
      <c r="J67" s="22"/>
      <c r="K67" s="29"/>
    </row>
    <row r="68" spans="1:11" ht="12.75">
      <c r="A68" s="33" t="s">
        <v>112</v>
      </c>
      <c r="B68" s="33"/>
      <c r="C68" s="33"/>
      <c r="D68" s="33"/>
      <c r="E68" s="33"/>
      <c r="F68" s="33"/>
      <c r="G68" s="33"/>
      <c r="H68" s="34"/>
      <c r="I68" s="33"/>
      <c r="J68" s="33"/>
      <c r="K68" s="35"/>
    </row>
    <row r="69" spans="1:11" ht="12.75">
      <c r="A69" s="33"/>
      <c r="B69" s="33"/>
      <c r="C69" s="33"/>
      <c r="D69" s="33"/>
      <c r="E69" s="33"/>
      <c r="F69" s="33"/>
      <c r="G69" s="33"/>
      <c r="H69" s="34"/>
      <c r="I69" s="33"/>
      <c r="J69" s="33"/>
      <c r="K69" s="35"/>
    </row>
    <row r="70" spans="1:11" ht="12.75">
      <c r="A70" s="111" t="s">
        <v>805</v>
      </c>
      <c r="B70" s="111"/>
      <c r="C70" s="111"/>
      <c r="D70" s="111"/>
      <c r="E70" s="111"/>
      <c r="F70" s="111"/>
      <c r="G70" s="36"/>
      <c r="H70" s="37">
        <f>K327*24.48*165.1*1.5*1.07</f>
        <v>4898.6651001873815</v>
      </c>
      <c r="I70" s="38"/>
      <c r="J70" s="38"/>
      <c r="K70" s="35"/>
    </row>
    <row r="71" spans="1:11" ht="12.75">
      <c r="A71" s="33" t="s">
        <v>114</v>
      </c>
      <c r="B71" s="33"/>
      <c r="C71" s="33"/>
      <c r="D71" s="33"/>
      <c r="E71" s="33"/>
      <c r="F71" s="33"/>
      <c r="G71" s="33"/>
      <c r="H71" s="34"/>
      <c r="I71" s="33"/>
      <c r="J71" s="33"/>
      <c r="K71" s="35"/>
    </row>
    <row r="72" spans="1:11" ht="12.75">
      <c r="A72" s="39">
        <f>H70</f>
        <v>4898.6651001873815</v>
      </c>
      <c r="B72" s="36" t="s">
        <v>115</v>
      </c>
      <c r="C72" s="36"/>
      <c r="D72" s="36"/>
      <c r="E72" s="36"/>
      <c r="F72" s="36"/>
      <c r="G72" s="38"/>
      <c r="H72" s="37">
        <f>H70*14.2%</f>
        <v>695.6104442266081</v>
      </c>
      <c r="I72" s="38"/>
      <c r="J72" s="38"/>
      <c r="K72" s="35"/>
    </row>
    <row r="73" spans="1:11" ht="12.75">
      <c r="A73" s="119"/>
      <c r="B73" s="119"/>
      <c r="C73" s="119"/>
      <c r="D73" s="119"/>
      <c r="E73" s="119"/>
      <c r="F73" s="40"/>
      <c r="G73" s="40"/>
      <c r="H73" s="37"/>
      <c r="I73" s="38"/>
      <c r="J73" s="38"/>
      <c r="K73" s="35"/>
    </row>
    <row r="74" spans="1:11" ht="12.75">
      <c r="A74" s="30" t="s">
        <v>86</v>
      </c>
      <c r="B74" s="30"/>
      <c r="C74" s="30"/>
      <c r="D74" s="30"/>
      <c r="E74" s="30"/>
      <c r="F74" s="40"/>
      <c r="G74" s="40"/>
      <c r="H74" s="37">
        <f>0.04*O23</f>
        <v>108.30799999999999</v>
      </c>
      <c r="I74" s="38"/>
      <c r="J74" s="38"/>
      <c r="K74" s="35"/>
    </row>
    <row r="75" spans="1:11" ht="12.75">
      <c r="A75" s="30"/>
      <c r="B75" s="30"/>
      <c r="C75" s="30"/>
      <c r="D75" s="30"/>
      <c r="E75" s="30"/>
      <c r="F75" s="40"/>
      <c r="G75" s="40"/>
      <c r="H75" s="37"/>
      <c r="I75" s="38"/>
      <c r="J75" s="38"/>
      <c r="K75" s="35"/>
    </row>
    <row r="76" spans="1:11" ht="12.75">
      <c r="A76" s="108" t="s">
        <v>116</v>
      </c>
      <c r="B76" s="108"/>
      <c r="C76" s="108"/>
      <c r="D76" s="108"/>
      <c r="E76" s="108"/>
      <c r="F76" s="108"/>
      <c r="G76" s="108"/>
      <c r="H76" s="37">
        <v>2300</v>
      </c>
      <c r="I76" s="38"/>
      <c r="J76" s="38"/>
      <c r="K76" s="35"/>
    </row>
    <row r="77" spans="1:11" ht="12.75">
      <c r="A77" s="30"/>
      <c r="B77" s="30"/>
      <c r="C77" s="30"/>
      <c r="D77" s="30"/>
      <c r="E77" s="30"/>
      <c r="F77" s="30"/>
      <c r="G77" s="30"/>
      <c r="H77" s="37"/>
      <c r="I77" s="38"/>
      <c r="J77" s="38"/>
      <c r="K77" s="35"/>
    </row>
    <row r="78" spans="1:11" ht="12.75">
      <c r="A78" s="108" t="s">
        <v>806</v>
      </c>
      <c r="B78" s="108"/>
      <c r="C78" s="108"/>
      <c r="D78" s="108"/>
      <c r="E78" s="108"/>
      <c r="F78" s="30"/>
      <c r="G78" s="30"/>
      <c r="H78" s="37">
        <f>0.0037*O23</f>
        <v>10.01849</v>
      </c>
      <c r="I78" s="38"/>
      <c r="J78" s="38"/>
      <c r="K78" s="35"/>
    </row>
    <row r="79" spans="1:11" ht="12.75">
      <c r="A79" s="30"/>
      <c r="B79" s="30"/>
      <c r="C79" s="30"/>
      <c r="D79" s="30"/>
      <c r="E79" s="30"/>
      <c r="F79" s="30"/>
      <c r="G79" s="30"/>
      <c r="H79" s="37"/>
      <c r="I79" s="38"/>
      <c r="J79" s="38"/>
      <c r="K79" s="35"/>
    </row>
    <row r="80" spans="1:12" ht="12.75">
      <c r="A80" s="108" t="s">
        <v>807</v>
      </c>
      <c r="B80" s="108"/>
      <c r="C80" s="108"/>
      <c r="D80" s="108"/>
      <c r="E80" s="108"/>
      <c r="F80" s="108"/>
      <c r="G80" s="108"/>
      <c r="H80" s="37">
        <f>O23*0.082</f>
        <v>222.0314</v>
      </c>
      <c r="I80" s="38"/>
      <c r="J80" s="38"/>
      <c r="K80" s="35"/>
      <c r="L80" s="69"/>
    </row>
    <row r="81" spans="1:12" ht="12.75">
      <c r="A81" s="30"/>
      <c r="B81" s="30"/>
      <c r="C81" s="30"/>
      <c r="D81" s="30"/>
      <c r="E81" s="30"/>
      <c r="F81" s="30"/>
      <c r="G81" s="30"/>
      <c r="H81" s="37"/>
      <c r="I81" s="38"/>
      <c r="J81" s="38"/>
      <c r="K81" s="35"/>
      <c r="L81" s="69"/>
    </row>
    <row r="82" spans="1:13" ht="12.75">
      <c r="A82" s="108" t="s">
        <v>808</v>
      </c>
      <c r="B82" s="108"/>
      <c r="C82" s="108"/>
      <c r="D82" s="108"/>
      <c r="E82" s="108"/>
      <c r="F82" s="108"/>
      <c r="G82" s="108"/>
      <c r="H82" s="31">
        <f>O23*0.023*1.229</f>
        <v>76.5385559</v>
      </c>
      <c r="I82" s="33"/>
      <c r="J82" s="33"/>
      <c r="K82" s="35"/>
      <c r="M82" s="65" t="e">
        <f>36646.37/309083*#REF!</f>
        <v>#REF!</v>
      </c>
    </row>
    <row r="83" spans="1:11" ht="12.75">
      <c r="A83" s="30"/>
      <c r="B83" s="30"/>
      <c r="C83" s="30"/>
      <c r="D83" s="30"/>
      <c r="E83" s="30"/>
      <c r="F83" s="30"/>
      <c r="G83" s="30"/>
      <c r="H83" s="31"/>
      <c r="I83" s="33"/>
      <c r="J83" s="33"/>
      <c r="K83" s="35"/>
    </row>
    <row r="84" spans="1:13" ht="15.75">
      <c r="A84" s="110" t="s">
        <v>121</v>
      </c>
      <c r="B84" s="110"/>
      <c r="C84" s="110"/>
      <c r="D84" s="110"/>
      <c r="E84" s="42"/>
      <c r="F84" s="42"/>
      <c r="G84" s="20"/>
      <c r="H84" s="27"/>
      <c r="I84" s="20"/>
      <c r="J84" s="20"/>
      <c r="K84" s="21">
        <f>H87+H88+H90+H92</f>
        <v>1957.39633</v>
      </c>
      <c r="M84" s="72" t="e">
        <f>51932.37/301083*#REF!</f>
        <v>#REF!</v>
      </c>
    </row>
    <row r="85" spans="1:13" ht="15.75">
      <c r="A85" s="125"/>
      <c r="B85" s="125"/>
      <c r="C85" s="125"/>
      <c r="D85" s="125"/>
      <c r="E85" s="130"/>
      <c r="F85" s="130"/>
      <c r="G85" s="54"/>
      <c r="H85" s="131"/>
      <c r="I85" s="54"/>
      <c r="J85" s="54"/>
      <c r="K85" s="56"/>
      <c r="M85" s="72"/>
    </row>
    <row r="86" spans="1:11" ht="12.75">
      <c r="A86" s="111" t="s">
        <v>122</v>
      </c>
      <c r="B86" s="111"/>
      <c r="C86" s="111"/>
      <c r="D86" s="111"/>
      <c r="E86" s="111"/>
      <c r="F86" s="111"/>
      <c r="G86" s="36"/>
      <c r="H86" s="37"/>
      <c r="I86" s="36"/>
      <c r="J86" s="36"/>
      <c r="K86" s="35"/>
    </row>
    <row r="87" spans="1:11" ht="12.75">
      <c r="A87" s="36" t="s">
        <v>809</v>
      </c>
      <c r="B87" s="36"/>
      <c r="C87" s="36"/>
      <c r="D87" s="36"/>
      <c r="E87" s="36"/>
      <c r="F87" s="36"/>
      <c r="G87" s="36"/>
      <c r="H87" s="37">
        <f>0.2227*O23</f>
        <v>603.00479</v>
      </c>
      <c r="I87" s="36"/>
      <c r="J87" s="36"/>
      <c r="K87" s="35"/>
    </row>
    <row r="88" spans="1:11" ht="12.75">
      <c r="A88" s="30" t="s">
        <v>810</v>
      </c>
      <c r="B88" s="43"/>
      <c r="C88" s="30"/>
      <c r="D88" s="30"/>
      <c r="E88" s="44"/>
      <c r="F88" s="38"/>
      <c r="G88" s="38"/>
      <c r="H88" s="37">
        <f>0.0257*O23</f>
        <v>69.58789</v>
      </c>
      <c r="I88" s="38"/>
      <c r="J88" s="38"/>
      <c r="K88" s="35"/>
    </row>
    <row r="89" spans="1:11" ht="12.75">
      <c r="A89" s="30"/>
      <c r="B89" s="43"/>
      <c r="C89" s="30"/>
      <c r="D89" s="30"/>
      <c r="E89" s="44"/>
      <c r="F89" s="38"/>
      <c r="G89" s="38"/>
      <c r="H89" s="37"/>
      <c r="I89" s="38"/>
      <c r="J89" s="38"/>
      <c r="K89" s="35"/>
    </row>
    <row r="90" spans="1:11" ht="12.75">
      <c r="A90" s="111" t="s">
        <v>811</v>
      </c>
      <c r="B90" s="111"/>
      <c r="C90" s="111"/>
      <c r="D90" s="111"/>
      <c r="E90" s="111"/>
      <c r="F90" s="38"/>
      <c r="G90" s="38"/>
      <c r="H90" s="37">
        <f>0.0945*O23</f>
        <v>255.87765</v>
      </c>
      <c r="I90" s="38"/>
      <c r="J90" s="38"/>
      <c r="K90" s="35"/>
    </row>
    <row r="91" spans="1:11" ht="12.75">
      <c r="A91" s="36"/>
      <c r="B91" s="36"/>
      <c r="C91" s="36"/>
      <c r="D91" s="36"/>
      <c r="E91" s="36"/>
      <c r="F91" s="38"/>
      <c r="G91" s="38"/>
      <c r="H91" s="37"/>
      <c r="I91" s="38"/>
      <c r="J91" s="38"/>
      <c r="K91" s="35"/>
    </row>
    <row r="92" spans="1:11" ht="12.75">
      <c r="A92" s="36" t="s">
        <v>812</v>
      </c>
      <c r="B92" s="36"/>
      <c r="C92" s="36"/>
      <c r="D92" s="36"/>
      <c r="E92" s="36"/>
      <c r="F92" s="38"/>
      <c r="G92" s="38"/>
      <c r="H92" s="37">
        <f>0.38*O23</f>
        <v>1028.926</v>
      </c>
      <c r="I92" s="38"/>
      <c r="J92" s="38"/>
      <c r="K92" s="45"/>
    </row>
    <row r="93" spans="1:11" ht="12.75">
      <c r="A93" s="30"/>
      <c r="B93" s="30"/>
      <c r="C93" s="30"/>
      <c r="D93" s="30"/>
      <c r="E93" s="38"/>
      <c r="F93" s="38"/>
      <c r="G93" s="38"/>
      <c r="H93" s="37"/>
      <c r="I93" s="38"/>
      <c r="J93" s="38"/>
      <c r="K93" s="35"/>
    </row>
    <row r="94" spans="1:13" ht="15.75">
      <c r="A94" s="26" t="s">
        <v>127</v>
      </c>
      <c r="B94" s="26"/>
      <c r="C94" s="26"/>
      <c r="D94" s="26"/>
      <c r="E94" s="26"/>
      <c r="F94" s="26"/>
      <c r="G94" s="26"/>
      <c r="H94" s="46"/>
      <c r="I94" s="20"/>
      <c r="J94" s="20"/>
      <c r="K94" s="21">
        <f>O23*0.94</f>
        <v>2545.238</v>
      </c>
      <c r="M94" s="71" t="e">
        <f>231179.9/309083*#REF!</f>
        <v>#REF!</v>
      </c>
    </row>
    <row r="95" spans="1:11" ht="15.75">
      <c r="A95" s="47"/>
      <c r="B95" s="47"/>
      <c r="C95" s="112" t="s">
        <v>64</v>
      </c>
      <c r="D95" s="112"/>
      <c r="E95" s="47"/>
      <c r="F95" s="47"/>
      <c r="G95" s="47"/>
      <c r="H95" s="48"/>
      <c r="I95" s="47"/>
      <c r="J95" s="47"/>
      <c r="K95" s="49"/>
    </row>
    <row r="96" spans="1:11" ht="12.75">
      <c r="A96" s="30" t="s">
        <v>128</v>
      </c>
      <c r="B96" s="30"/>
      <c r="C96" s="30"/>
      <c r="D96" s="30"/>
      <c r="E96" s="30"/>
      <c r="F96" s="30"/>
      <c r="G96" s="30"/>
      <c r="H96" s="37"/>
      <c r="I96" s="38"/>
      <c r="J96" s="38"/>
      <c r="K96" s="35"/>
    </row>
    <row r="97" spans="1:11" ht="12.75">
      <c r="A97" s="30"/>
      <c r="B97" s="30"/>
      <c r="C97" s="30"/>
      <c r="D97" s="30"/>
      <c r="E97" s="30"/>
      <c r="F97" s="30"/>
      <c r="G97" s="30"/>
      <c r="H97" s="37"/>
      <c r="I97" s="38"/>
      <c r="J97" s="38"/>
      <c r="K97" s="35"/>
    </row>
    <row r="98" spans="1:11" ht="12.75">
      <c r="A98" s="30" t="s">
        <v>129</v>
      </c>
      <c r="B98" s="43"/>
      <c r="C98" s="30"/>
      <c r="D98" s="30"/>
      <c r="E98" s="30"/>
      <c r="F98" s="44"/>
      <c r="G98" s="44"/>
      <c r="H98" s="37"/>
      <c r="I98" s="38"/>
      <c r="J98" s="38"/>
      <c r="K98" s="35"/>
    </row>
    <row r="99" spans="1:11" ht="12.75">
      <c r="A99" s="30"/>
      <c r="B99" s="43"/>
      <c r="C99" s="30"/>
      <c r="D99" s="30"/>
      <c r="E99" s="30"/>
      <c r="F99" s="44"/>
      <c r="G99" s="44"/>
      <c r="H99" s="37"/>
      <c r="I99" s="38"/>
      <c r="J99" s="38"/>
      <c r="K99" s="35"/>
    </row>
    <row r="100" spans="1:11" ht="12.75">
      <c r="A100" s="108" t="s">
        <v>130</v>
      </c>
      <c r="B100" s="108"/>
      <c r="C100" s="108"/>
      <c r="D100" s="108"/>
      <c r="E100" s="108"/>
      <c r="F100" s="108"/>
      <c r="G100" s="44"/>
      <c r="H100" s="37"/>
      <c r="I100" s="38"/>
      <c r="J100" s="38"/>
      <c r="K100" s="35"/>
    </row>
    <row r="101" spans="1:11" ht="12.75">
      <c r="A101" s="30"/>
      <c r="B101" s="30"/>
      <c r="C101" s="30"/>
      <c r="D101" s="30"/>
      <c r="E101" s="30"/>
      <c r="F101" s="30"/>
      <c r="G101" s="44"/>
      <c r="H101" s="37"/>
      <c r="I101" s="38"/>
      <c r="J101" s="38"/>
      <c r="K101" s="35"/>
    </row>
    <row r="102" spans="1:11" ht="12.75">
      <c r="A102" s="108" t="s">
        <v>131</v>
      </c>
      <c r="B102" s="108"/>
      <c r="C102" s="108"/>
      <c r="D102" s="108"/>
      <c r="E102" s="108"/>
      <c r="F102" s="108"/>
      <c r="G102" s="108"/>
      <c r="H102" s="37"/>
      <c r="I102" s="38"/>
      <c r="J102" s="38"/>
      <c r="K102" s="35"/>
    </row>
    <row r="103" spans="1:11" ht="12.75">
      <c r="A103" s="30"/>
      <c r="B103" s="30"/>
      <c r="C103" s="30"/>
      <c r="D103" s="30"/>
      <c r="E103" s="30"/>
      <c r="F103" s="30"/>
      <c r="G103" s="30"/>
      <c r="H103" s="37"/>
      <c r="I103" s="38"/>
      <c r="J103" s="38"/>
      <c r="K103" s="35"/>
    </row>
    <row r="104" spans="1:11" ht="12.75">
      <c r="A104" s="108" t="s">
        <v>132</v>
      </c>
      <c r="B104" s="108"/>
      <c r="C104" s="108"/>
      <c r="D104" s="108"/>
      <c r="E104" s="109"/>
      <c r="F104" s="109"/>
      <c r="G104" s="109"/>
      <c r="H104" s="37"/>
      <c r="I104" s="38"/>
      <c r="J104" s="38"/>
      <c r="K104" s="35"/>
    </row>
    <row r="105" spans="1:11" ht="12.75">
      <c r="A105" s="30"/>
      <c r="B105" s="30"/>
      <c r="C105" s="30"/>
      <c r="D105" s="30"/>
      <c r="E105" s="50"/>
      <c r="F105" s="50"/>
      <c r="G105" s="50"/>
      <c r="H105" s="37"/>
      <c r="I105" s="38"/>
      <c r="J105" s="38"/>
      <c r="K105" s="35"/>
    </row>
    <row r="106" spans="1:11" ht="12.75">
      <c r="A106" s="108" t="s">
        <v>133</v>
      </c>
      <c r="B106" s="108"/>
      <c r="C106" s="108"/>
      <c r="D106" s="108"/>
      <c r="E106" s="108"/>
      <c r="F106" s="44"/>
      <c r="G106" s="44"/>
      <c r="H106" s="37"/>
      <c r="I106" s="38"/>
      <c r="J106" s="38"/>
      <c r="K106" s="35"/>
    </row>
    <row r="107" spans="1:11" ht="12.75">
      <c r="A107" s="30"/>
      <c r="B107" s="30"/>
      <c r="C107" s="30"/>
      <c r="D107" s="30"/>
      <c r="E107" s="30"/>
      <c r="F107" s="44"/>
      <c r="G107" s="44"/>
      <c r="H107" s="37"/>
      <c r="I107" s="38"/>
      <c r="J107" s="38"/>
      <c r="K107" s="35"/>
    </row>
    <row r="108" spans="1:11" ht="12.75">
      <c r="A108" s="44" t="s">
        <v>134</v>
      </c>
      <c r="B108" s="44"/>
      <c r="C108" s="44"/>
      <c r="D108" s="44"/>
      <c r="E108" s="44"/>
      <c r="F108" s="44"/>
      <c r="G108" s="44"/>
      <c r="H108" s="37"/>
      <c r="I108" s="38"/>
      <c r="J108" s="38"/>
      <c r="K108" s="35"/>
    </row>
    <row r="109" spans="1:14" ht="12.75">
      <c r="A109" s="22"/>
      <c r="B109" s="22"/>
      <c r="C109" s="22"/>
      <c r="D109" s="22"/>
      <c r="E109" s="22"/>
      <c r="F109" s="22"/>
      <c r="G109" s="22"/>
      <c r="H109" s="28"/>
      <c r="I109" s="22"/>
      <c r="J109" s="22"/>
      <c r="K109" s="29"/>
      <c r="N109" s="69">
        <f>E14-(K20+K38+K66+K84+K94)</f>
        <v>1715.79927726202</v>
      </c>
    </row>
    <row r="110" spans="1:15" ht="15.75">
      <c r="A110" s="20" t="s">
        <v>135</v>
      </c>
      <c r="B110" s="20"/>
      <c r="C110" s="20"/>
      <c r="D110" s="20"/>
      <c r="E110" s="20"/>
      <c r="F110" s="51"/>
      <c r="G110" s="51"/>
      <c r="H110" s="52"/>
      <c r="I110" s="51"/>
      <c r="J110" s="51"/>
      <c r="K110" s="21">
        <f>0.0205*O23</f>
        <v>55.50785</v>
      </c>
      <c r="L110" s="72">
        <f>K110/309084</f>
        <v>0.0001795882349134863</v>
      </c>
      <c r="M110" s="72">
        <f>L110/309084</f>
        <v>5.810337478274071E-10</v>
      </c>
      <c r="O110" s="65">
        <f>(E14-(K20+K38+K66+K84+K94))*0.15</f>
        <v>257.369891589303</v>
      </c>
    </row>
    <row r="111" spans="1:13" ht="15.75">
      <c r="A111" s="53"/>
      <c r="B111" s="54"/>
      <c r="C111" s="54"/>
      <c r="D111" s="54"/>
      <c r="E111" s="54"/>
      <c r="F111" s="53"/>
      <c r="G111" s="53"/>
      <c r="H111" s="55"/>
      <c r="I111" s="53"/>
      <c r="J111" s="53"/>
      <c r="K111" s="56"/>
      <c r="L111" s="72"/>
      <c r="M111" s="72"/>
    </row>
    <row r="112" spans="1:11" ht="15.75">
      <c r="A112" s="57" t="s">
        <v>136</v>
      </c>
      <c r="B112" s="57"/>
      <c r="C112" s="57"/>
      <c r="D112" s="58"/>
      <c r="E112" s="58"/>
      <c r="F112" s="58"/>
      <c r="G112" s="58"/>
      <c r="H112" s="59"/>
      <c r="I112" s="58"/>
      <c r="J112" s="58"/>
      <c r="K112" s="60">
        <f>K17*6%</f>
        <v>1455.160509164279</v>
      </c>
    </row>
    <row r="113" spans="1:11" ht="15">
      <c r="A113" s="58"/>
      <c r="B113" s="61"/>
      <c r="C113" s="61"/>
      <c r="D113" s="61"/>
      <c r="E113" s="61"/>
      <c r="F113" s="61"/>
      <c r="G113" s="61"/>
      <c r="H113" s="62"/>
      <c r="I113" s="58"/>
      <c r="J113" s="58"/>
      <c r="K113" s="58"/>
    </row>
    <row r="114" spans="1:11" ht="15.75">
      <c r="A114" s="63" t="s">
        <v>137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4">
        <f>K112+K17</f>
        <v>25707.83566190226</v>
      </c>
    </row>
    <row r="115" spans="1:11" ht="15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4"/>
    </row>
    <row r="116" spans="1:11" ht="15.75">
      <c r="A116" s="63" t="s">
        <v>138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4">
        <f>K114/O23</f>
        <v>9.494344152565743</v>
      </c>
    </row>
    <row r="117" spans="1:11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4"/>
    </row>
    <row r="118" spans="1:11" ht="15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4"/>
    </row>
    <row r="119" spans="1:11" ht="15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4"/>
    </row>
    <row r="120" spans="1:11" ht="15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4"/>
    </row>
    <row r="121" spans="1:11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4"/>
    </row>
    <row r="122" spans="1:1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4"/>
    </row>
    <row r="123" spans="1:11" ht="15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4"/>
    </row>
    <row r="124" spans="1:1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4"/>
    </row>
    <row r="139" spans="3:9" s="65" customFormat="1" ht="15.75">
      <c r="C139" s="106" t="s">
        <v>139</v>
      </c>
      <c r="D139" s="107"/>
      <c r="E139" s="107"/>
      <c r="F139" s="107"/>
      <c r="G139" s="107"/>
      <c r="H139" s="107"/>
      <c r="I139" s="107"/>
    </row>
    <row r="140" spans="3:9" s="65" customFormat="1" ht="15.75">
      <c r="C140" s="74" t="s">
        <v>140</v>
      </c>
      <c r="D140" s="74" t="s">
        <v>141</v>
      </c>
      <c r="E140" s="74"/>
      <c r="F140" s="74"/>
      <c r="G140" s="75"/>
      <c r="H140" s="75"/>
      <c r="I140" s="75"/>
    </row>
    <row r="141" s="65" customFormat="1" ht="12.75"/>
    <row r="142" spans="5:8" s="65" customFormat="1" ht="12.75">
      <c r="E142" s="65" t="s">
        <v>142</v>
      </c>
      <c r="H142" s="65" t="e">
        <f>#REF!</f>
        <v>#REF!</v>
      </c>
    </row>
    <row r="143" spans="5:8" s="65" customFormat="1" ht="12.75">
      <c r="E143" s="65" t="s">
        <v>143</v>
      </c>
      <c r="H143" s="65" t="e">
        <f>#REF!</f>
        <v>#REF!</v>
      </c>
    </row>
    <row r="144" spans="5:8" s="65" customFormat="1" ht="12.75">
      <c r="E144" s="65" t="s">
        <v>144</v>
      </c>
      <c r="H144" s="65" t="e">
        <f>#REF!</f>
        <v>#REF!</v>
      </c>
    </row>
    <row r="145" spans="5:8" s="65" customFormat="1" ht="12.75">
      <c r="E145" s="65" t="s">
        <v>145</v>
      </c>
      <c r="H145" s="65">
        <f>O24</f>
        <v>142</v>
      </c>
    </row>
    <row r="146" spans="5:8" s="65" customFormat="1" ht="12.75">
      <c r="E146" s="65" t="s">
        <v>146</v>
      </c>
      <c r="H146" s="65" t="e">
        <f>#REF!</f>
        <v>#REF!</v>
      </c>
    </row>
    <row r="147" s="65" customFormat="1" ht="12.75"/>
    <row r="148" spans="1:11" s="65" customFormat="1" ht="15.75">
      <c r="A148" s="105" t="s">
        <v>72</v>
      </c>
      <c r="B148" s="105"/>
      <c r="C148" s="105"/>
      <c r="D148" s="105"/>
      <c r="E148" s="105"/>
      <c r="F148" s="105"/>
      <c r="G148" s="105"/>
      <c r="H148" s="76" t="e">
        <f>H150+H152+H154+H156+H158+H160+H162</f>
        <v>#REF!</v>
      </c>
      <c r="I148" s="77" t="s">
        <v>70</v>
      </c>
      <c r="K148" s="78" t="e">
        <f>H148-20000</f>
        <v>#REF!</v>
      </c>
    </row>
    <row r="149" spans="1:7" s="65" customFormat="1" ht="12.75">
      <c r="A149" s="79"/>
      <c r="B149" s="79"/>
      <c r="C149" s="79"/>
      <c r="D149" s="79"/>
      <c r="E149" s="79"/>
      <c r="F149" s="79"/>
      <c r="G149" s="79"/>
    </row>
    <row r="150" spans="1:8" s="65" customFormat="1" ht="15.75">
      <c r="A150" s="80" t="s">
        <v>147</v>
      </c>
      <c r="B150" s="80"/>
      <c r="C150" s="80"/>
      <c r="D150" s="80"/>
      <c r="E150" s="80"/>
      <c r="F150" s="80"/>
      <c r="G150" s="80"/>
      <c r="H150" s="78">
        <f>K20</f>
        <v>5944.517029423988</v>
      </c>
    </row>
    <row r="151" spans="1:8" s="65" customFormat="1" ht="12.75">
      <c r="A151" s="79"/>
      <c r="B151" s="79"/>
      <c r="C151" s="79"/>
      <c r="D151" s="79"/>
      <c r="E151" s="79"/>
      <c r="F151" s="79"/>
      <c r="G151" s="79"/>
      <c r="H151" s="78"/>
    </row>
    <row r="152" spans="1:8" s="65" customFormat="1" ht="15.75">
      <c r="A152" s="105" t="s">
        <v>95</v>
      </c>
      <c r="B152" s="105"/>
      <c r="C152" s="105"/>
      <c r="D152" s="105"/>
      <c r="E152" s="105"/>
      <c r="F152" s="80"/>
      <c r="G152" s="80"/>
      <c r="H152" s="78">
        <f>K38</f>
        <v>5438.843953000001</v>
      </c>
    </row>
    <row r="153" spans="1:8" s="65" customFormat="1" ht="12.75">
      <c r="A153" s="79"/>
      <c r="B153" s="79"/>
      <c r="C153" s="79"/>
      <c r="D153" s="79"/>
      <c r="E153" s="79"/>
      <c r="F153" s="79"/>
      <c r="G153" s="79"/>
      <c r="H153" s="78"/>
    </row>
    <row r="154" spans="1:8" s="65" customFormat="1" ht="15.75">
      <c r="A154" s="105" t="s">
        <v>148</v>
      </c>
      <c r="B154" s="105"/>
      <c r="C154" s="105"/>
      <c r="D154" s="105"/>
      <c r="E154" s="105"/>
      <c r="F154" s="105"/>
      <c r="G154" s="105"/>
      <c r="H154" s="81" t="e">
        <f>#REF!</f>
        <v>#REF!</v>
      </c>
    </row>
    <row r="155" spans="1:8" s="65" customFormat="1" ht="12.75">
      <c r="A155" s="79"/>
      <c r="B155" s="79"/>
      <c r="C155" s="79"/>
      <c r="D155" s="79"/>
      <c r="E155" s="79"/>
      <c r="F155" s="79"/>
      <c r="G155" s="79"/>
      <c r="H155" s="82"/>
    </row>
    <row r="156" spans="1:8" s="65" customFormat="1" ht="15.75">
      <c r="A156" s="80" t="s">
        <v>111</v>
      </c>
      <c r="B156" s="80"/>
      <c r="C156" s="80"/>
      <c r="D156" s="80"/>
      <c r="E156" s="80"/>
      <c r="F156" s="80"/>
      <c r="G156" s="80"/>
      <c r="H156" s="82" t="e">
        <f>M66</f>
        <v>#REF!</v>
      </c>
    </row>
    <row r="157" spans="1:8" s="65" customFormat="1" ht="12.75">
      <c r="A157" s="79"/>
      <c r="B157" s="79"/>
      <c r="C157" s="79"/>
      <c r="D157" s="79"/>
      <c r="E157" s="79"/>
      <c r="F157" s="79"/>
      <c r="G157" s="79"/>
      <c r="H157" s="82"/>
    </row>
    <row r="158" spans="1:8" s="65" customFormat="1" ht="15.75">
      <c r="A158" s="105" t="s">
        <v>149</v>
      </c>
      <c r="B158" s="105"/>
      <c r="C158" s="105"/>
      <c r="D158" s="105"/>
      <c r="E158" s="80"/>
      <c r="F158" s="80"/>
      <c r="G158" s="80"/>
      <c r="H158" s="81" t="e">
        <f>M84</f>
        <v>#REF!</v>
      </c>
    </row>
    <row r="159" spans="1:8" s="65" customFormat="1" ht="12.75">
      <c r="A159" s="79"/>
      <c r="B159" s="79"/>
      <c r="C159" s="79"/>
      <c r="D159" s="79"/>
      <c r="E159" s="79"/>
      <c r="F159" s="79"/>
      <c r="G159" s="79"/>
      <c r="H159" s="82"/>
    </row>
    <row r="160" spans="1:8" s="65" customFormat="1" ht="15.75">
      <c r="A160" s="83" t="s">
        <v>127</v>
      </c>
      <c r="B160" s="83"/>
      <c r="C160" s="83"/>
      <c r="D160" s="83"/>
      <c r="E160" s="83"/>
      <c r="F160" s="83"/>
      <c r="G160" s="83"/>
      <c r="H160" s="81" t="e">
        <f>M94</f>
        <v>#REF!</v>
      </c>
    </row>
    <row r="161" spans="1:8" s="65" customFormat="1" ht="12.75">
      <c r="A161" s="79"/>
      <c r="B161" s="79"/>
      <c r="C161" s="79"/>
      <c r="D161" s="79"/>
      <c r="E161" s="79"/>
      <c r="F161" s="79"/>
      <c r="G161" s="79"/>
      <c r="H161" s="82"/>
    </row>
    <row r="162" spans="1:8" s="65" customFormat="1" ht="15.75">
      <c r="A162" s="80" t="s">
        <v>150</v>
      </c>
      <c r="B162" s="80"/>
      <c r="C162" s="80"/>
      <c r="D162" s="80"/>
      <c r="E162" s="80"/>
      <c r="F162" s="84"/>
      <c r="G162" s="84"/>
      <c r="H162" s="81">
        <f>L110</f>
        <v>0.0001795882349134863</v>
      </c>
    </row>
    <row r="163" s="65" customFormat="1" ht="12.75"/>
    <row r="164" s="65" customFormat="1" ht="12.75"/>
    <row r="165" s="65" customFormat="1" ht="12.75">
      <c r="H165" s="65" t="s">
        <v>151</v>
      </c>
    </row>
    <row r="166" s="65" customFormat="1" ht="12.75">
      <c r="H166" s="65" t="s">
        <v>146</v>
      </c>
    </row>
    <row r="167" s="65" customFormat="1" ht="12.75">
      <c r="H167" s="65" t="s">
        <v>152</v>
      </c>
    </row>
    <row r="168" s="65" customFormat="1" ht="12.75"/>
    <row r="169" s="65" customFormat="1" ht="12.75"/>
    <row r="170" s="65" customFormat="1" ht="12.75">
      <c r="F170" s="65" t="s">
        <v>153</v>
      </c>
    </row>
    <row r="171" s="65" customFormat="1" ht="12.75">
      <c r="D171" s="65" t="s">
        <v>154</v>
      </c>
    </row>
    <row r="172" s="65" customFormat="1" ht="12.75">
      <c r="D172" s="65" t="s">
        <v>155</v>
      </c>
    </row>
    <row r="173" spans="6:13" s="65" customFormat="1" ht="12.75">
      <c r="F173" s="65" t="s">
        <v>156</v>
      </c>
      <c r="M173" s="65" t="s">
        <v>157</v>
      </c>
    </row>
    <row r="174" s="65" customFormat="1" ht="12.75">
      <c r="M174" s="65" t="s">
        <v>158</v>
      </c>
    </row>
    <row r="175" spans="1:13" s="65" customFormat="1" ht="12.75">
      <c r="A175" s="65" t="s">
        <v>159</v>
      </c>
      <c r="B175" s="65" t="s">
        <v>160</v>
      </c>
      <c r="D175" s="65" t="s">
        <v>161</v>
      </c>
      <c r="F175" s="65" t="s">
        <v>162</v>
      </c>
      <c r="G175" s="65" t="s">
        <v>163</v>
      </c>
      <c r="H175" s="65" t="s">
        <v>164</v>
      </c>
      <c r="J175" s="65" t="s">
        <v>165</v>
      </c>
      <c r="M175" s="73" t="s">
        <v>166</v>
      </c>
    </row>
    <row r="176" spans="1:14" s="65" customFormat="1" ht="12.75">
      <c r="A176" s="65" t="s">
        <v>167</v>
      </c>
      <c r="B176" s="65" t="s">
        <v>168</v>
      </c>
      <c r="D176" s="65" t="s">
        <v>169</v>
      </c>
      <c r="F176" s="65" t="s">
        <v>170</v>
      </c>
      <c r="G176" s="65" t="s">
        <v>171</v>
      </c>
      <c r="H176" s="65" t="s">
        <v>172</v>
      </c>
      <c r="J176" s="65" t="s">
        <v>173</v>
      </c>
      <c r="M176" s="65" t="s">
        <v>174</v>
      </c>
      <c r="N176" s="65">
        <v>2884.5</v>
      </c>
    </row>
    <row r="177" spans="8:9" s="65" customFormat="1" ht="12.75">
      <c r="H177" s="65" t="s">
        <v>175</v>
      </c>
      <c r="I177" s="65" t="s">
        <v>176</v>
      </c>
    </row>
    <row r="178" spans="8:13" s="65" customFormat="1" ht="12.75">
      <c r="H178" s="65" t="s">
        <v>170</v>
      </c>
      <c r="I178" s="65" t="s">
        <v>177</v>
      </c>
      <c r="M178" s="65" t="s">
        <v>178</v>
      </c>
    </row>
    <row r="179" spans="9:13" s="65" customFormat="1" ht="12.75">
      <c r="I179" s="65" t="s">
        <v>179</v>
      </c>
      <c r="M179" s="65" t="s">
        <v>158</v>
      </c>
    </row>
    <row r="180" s="65" customFormat="1" ht="12.75">
      <c r="M180" s="73" t="s">
        <v>166</v>
      </c>
    </row>
    <row r="181" spans="1:14" s="65" customFormat="1" ht="12.75">
      <c r="A181" s="65" t="s">
        <v>180</v>
      </c>
      <c r="B181" s="65" t="s">
        <v>181</v>
      </c>
      <c r="D181" s="65" t="s">
        <v>182</v>
      </c>
      <c r="M181" s="65" t="s">
        <v>174</v>
      </c>
      <c r="N181" s="65">
        <v>609.2</v>
      </c>
    </row>
    <row r="182" spans="2:4" s="65" customFormat="1" ht="12.75">
      <c r="B182" s="65" t="s">
        <v>183</v>
      </c>
      <c r="D182" s="65" t="s">
        <v>184</v>
      </c>
    </row>
    <row r="183" spans="2:13" s="65" customFormat="1" ht="12.75">
      <c r="B183" s="65" t="s">
        <v>185</v>
      </c>
      <c r="D183" s="65" t="s">
        <v>186</v>
      </c>
      <c r="M183" s="65" t="s">
        <v>187</v>
      </c>
    </row>
    <row r="184" spans="2:13" s="65" customFormat="1" ht="12.75">
      <c r="B184" s="65" t="s">
        <v>188</v>
      </c>
      <c r="D184" s="65" t="s">
        <v>189</v>
      </c>
      <c r="M184" s="65" t="s">
        <v>158</v>
      </c>
    </row>
    <row r="185" spans="2:13" s="65" customFormat="1" ht="12.75">
      <c r="B185" s="65" t="s">
        <v>190</v>
      </c>
      <c r="M185" s="73" t="s">
        <v>166</v>
      </c>
    </row>
    <row r="186" spans="4:14" s="65" customFormat="1" ht="12.75">
      <c r="D186" s="65" t="s">
        <v>191</v>
      </c>
      <c r="M186" s="65" t="s">
        <v>174</v>
      </c>
      <c r="N186" s="65">
        <v>552.2</v>
      </c>
    </row>
    <row r="187" spans="4:6" s="65" customFormat="1" ht="12.75">
      <c r="D187" s="65" t="s">
        <v>192</v>
      </c>
      <c r="F187" s="65" t="s">
        <v>193</v>
      </c>
    </row>
    <row r="188" spans="4:13" s="65" customFormat="1" ht="12.75">
      <c r="D188" s="65" t="s">
        <v>158</v>
      </c>
      <c r="F188" s="65" t="s">
        <v>194</v>
      </c>
      <c r="H188" s="65">
        <v>0.0687</v>
      </c>
      <c r="I188" s="65">
        <v>0</v>
      </c>
      <c r="K188" s="65">
        <f>N179/1000*H188</f>
        <v>0</v>
      </c>
      <c r="M188" s="65" t="s">
        <v>195</v>
      </c>
    </row>
    <row r="189" spans="4:13" s="65" customFormat="1" ht="12.75">
      <c r="D189" s="65" t="s">
        <v>196</v>
      </c>
      <c r="F189" s="65" t="s">
        <v>197</v>
      </c>
      <c r="H189" s="65">
        <v>0.0763</v>
      </c>
      <c r="I189" s="65">
        <v>0</v>
      </c>
      <c r="K189" s="65">
        <f>N180/1000*H189</f>
        <v>0</v>
      </c>
      <c r="M189" s="65" t="s">
        <v>158</v>
      </c>
    </row>
    <row r="190" spans="4:13" s="65" customFormat="1" ht="12.75">
      <c r="D190" s="65" t="s">
        <v>198</v>
      </c>
      <c r="F190" s="65" t="s">
        <v>199</v>
      </c>
      <c r="H190" s="65">
        <v>0.0839</v>
      </c>
      <c r="I190" s="65">
        <v>0</v>
      </c>
      <c r="K190" s="69">
        <f>N181/1000*H190</f>
        <v>0.051111880000000005</v>
      </c>
      <c r="M190" s="73" t="s">
        <v>166</v>
      </c>
    </row>
    <row r="191" spans="6:13" s="65" customFormat="1" ht="12.75">
      <c r="F191" s="65" t="s">
        <v>200</v>
      </c>
      <c r="M191" s="65" t="s">
        <v>174</v>
      </c>
    </row>
    <row r="192" s="65" customFormat="1" ht="12.75">
      <c r="F192" s="65" t="s">
        <v>190</v>
      </c>
    </row>
    <row r="193" spans="5:9" s="65" customFormat="1" ht="12.75">
      <c r="E193" s="65" t="s">
        <v>201</v>
      </c>
      <c r="I193" s="65">
        <v>0</v>
      </c>
    </row>
    <row r="194" spans="2:4" s="65" customFormat="1" ht="12.75">
      <c r="B194" s="65" t="s">
        <v>202</v>
      </c>
      <c r="D194" s="65" t="s">
        <v>203</v>
      </c>
    </row>
    <row r="195" s="65" customFormat="1" ht="12.75">
      <c r="D195" s="65" t="s">
        <v>204</v>
      </c>
    </row>
    <row r="196" s="65" customFormat="1" ht="12.75">
      <c r="D196" s="65" t="s">
        <v>205</v>
      </c>
    </row>
    <row r="197" s="65" customFormat="1" ht="12.75">
      <c r="D197" s="65" t="s">
        <v>191</v>
      </c>
    </row>
    <row r="198" spans="4:11" s="65" customFormat="1" ht="12.75">
      <c r="D198" s="65" t="s">
        <v>158</v>
      </c>
      <c r="H198" s="65">
        <v>0.00338</v>
      </c>
      <c r="K198" s="69">
        <f>N202/1000*H198</f>
        <v>0</v>
      </c>
    </row>
    <row r="199" spans="4:11" s="65" customFormat="1" ht="12.75">
      <c r="D199" s="65" t="s">
        <v>196</v>
      </c>
      <c r="H199" s="65">
        <v>0.00376</v>
      </c>
      <c r="K199" s="69">
        <f>N203/1000*H199</f>
        <v>0</v>
      </c>
    </row>
    <row r="200" spans="4:11" s="65" customFormat="1" ht="12.75">
      <c r="D200" s="65" t="s">
        <v>198</v>
      </c>
      <c r="H200" s="65">
        <v>0.00414</v>
      </c>
      <c r="K200" s="69">
        <f>N204/1000*H200</f>
        <v>0.011941829999999999</v>
      </c>
    </row>
    <row r="201" s="65" customFormat="1" ht="12.75">
      <c r="M201" s="65" t="s">
        <v>206</v>
      </c>
    </row>
    <row r="202" spans="1:13" s="65" customFormat="1" ht="12.75">
      <c r="A202" s="65" t="s">
        <v>207</v>
      </c>
      <c r="B202" s="65" t="s">
        <v>208</v>
      </c>
      <c r="D202" s="65" t="s">
        <v>203</v>
      </c>
      <c r="M202" s="65" t="s">
        <v>158</v>
      </c>
    </row>
    <row r="203" spans="4:13" s="65" customFormat="1" ht="12.75">
      <c r="D203" s="65" t="s">
        <v>209</v>
      </c>
      <c r="M203" s="73" t="s">
        <v>166</v>
      </c>
    </row>
    <row r="204" spans="4:14" s="65" customFormat="1" ht="12.75">
      <c r="D204" s="65" t="s">
        <v>191</v>
      </c>
      <c r="M204" s="65" t="s">
        <v>174</v>
      </c>
      <c r="N204" s="65">
        <v>2884.5</v>
      </c>
    </row>
    <row r="205" spans="4:11" s="65" customFormat="1" ht="12.75">
      <c r="D205" s="65" t="s">
        <v>158</v>
      </c>
      <c r="H205" s="65">
        <v>0.02043</v>
      </c>
      <c r="I205" s="65">
        <v>0</v>
      </c>
      <c r="K205" s="65">
        <f>N189/1000*H205</f>
        <v>0</v>
      </c>
    </row>
    <row r="206" spans="4:13" s="65" customFormat="1" ht="12.75">
      <c r="D206" s="65" t="s">
        <v>196</v>
      </c>
      <c r="H206" s="65">
        <v>0.0227</v>
      </c>
      <c r="I206" s="65">
        <v>0</v>
      </c>
      <c r="K206" s="65">
        <f>N190/1000*H206</f>
        <v>0</v>
      </c>
      <c r="M206" s="65" t="s">
        <v>210</v>
      </c>
    </row>
    <row r="207" spans="4:13" s="65" customFormat="1" ht="12.75">
      <c r="D207" s="65" t="s">
        <v>198</v>
      </c>
      <c r="H207" s="65">
        <v>0.02497</v>
      </c>
      <c r="I207" s="65">
        <v>0</v>
      </c>
      <c r="K207" s="65">
        <f>N191/1000*H207</f>
        <v>0</v>
      </c>
      <c r="M207" s="65" t="s">
        <v>158</v>
      </c>
    </row>
    <row r="208" spans="4:13" s="65" customFormat="1" ht="12.75">
      <c r="D208" s="65" t="s">
        <v>211</v>
      </c>
      <c r="M208" s="73" t="s">
        <v>166</v>
      </c>
    </row>
    <row r="209" spans="4:14" s="65" customFormat="1" ht="12.75">
      <c r="D209" s="65" t="s">
        <v>191</v>
      </c>
      <c r="M209" s="65" t="s">
        <v>174</v>
      </c>
      <c r="N209" s="65">
        <v>60</v>
      </c>
    </row>
    <row r="210" spans="4:6" s="65" customFormat="1" ht="12.75">
      <c r="D210" s="65" t="s">
        <v>192</v>
      </c>
      <c r="F210" s="65" t="s">
        <v>193</v>
      </c>
    </row>
    <row r="211" spans="4:11" s="65" customFormat="1" ht="12.75">
      <c r="D211" s="65" t="s">
        <v>158</v>
      </c>
      <c r="H211" s="65">
        <v>0.00999</v>
      </c>
      <c r="K211" s="69">
        <f>N174/1000*H211</f>
        <v>0</v>
      </c>
    </row>
    <row r="212" spans="4:11" s="65" customFormat="1" ht="12.75">
      <c r="D212" s="65" t="s">
        <v>196</v>
      </c>
      <c r="H212" s="65">
        <v>0.0111</v>
      </c>
      <c r="K212" s="69">
        <f>N175/1000*H212</f>
        <v>0</v>
      </c>
    </row>
    <row r="213" spans="4:11" s="65" customFormat="1" ht="12.75">
      <c r="D213" s="65" t="s">
        <v>198</v>
      </c>
      <c r="H213" s="65">
        <v>0.01221</v>
      </c>
      <c r="I213" s="65">
        <v>0</v>
      </c>
      <c r="K213" s="69">
        <f>N176/1000*H213</f>
        <v>0.035219745000000004</v>
      </c>
    </row>
    <row r="214" s="65" customFormat="1" ht="12.75">
      <c r="I214" s="65">
        <v>0</v>
      </c>
    </row>
    <row r="215" spans="5:9" s="65" customFormat="1" ht="12.75">
      <c r="E215" s="65" t="s">
        <v>201</v>
      </c>
      <c r="G215" s="65">
        <v>0</v>
      </c>
      <c r="I215" s="65">
        <v>0</v>
      </c>
    </row>
    <row r="216" spans="1:6" s="65" customFormat="1" ht="12.75">
      <c r="A216" s="65" t="s">
        <v>212</v>
      </c>
      <c r="B216" s="65" t="s">
        <v>213</v>
      </c>
      <c r="D216" s="65" t="s">
        <v>203</v>
      </c>
      <c r="F216" s="65" t="s">
        <v>193</v>
      </c>
    </row>
    <row r="217" spans="2:6" s="65" customFormat="1" ht="12.75">
      <c r="B217" s="65" t="s">
        <v>214</v>
      </c>
      <c r="D217" s="65" t="s">
        <v>209</v>
      </c>
      <c r="F217" s="65" t="s">
        <v>215</v>
      </c>
    </row>
    <row r="218" spans="4:6" s="65" customFormat="1" ht="12.75">
      <c r="D218" s="65" t="s">
        <v>191</v>
      </c>
      <c r="F218" s="65" t="s">
        <v>216</v>
      </c>
    </row>
    <row r="219" spans="4:11" s="65" customFormat="1" ht="12.75">
      <c r="D219" s="65" t="s">
        <v>158</v>
      </c>
      <c r="H219" s="65">
        <v>0.018432</v>
      </c>
      <c r="I219" s="65">
        <v>0</v>
      </c>
      <c r="K219" s="65">
        <f>N189/1000*H219</f>
        <v>0</v>
      </c>
    </row>
    <row r="220" spans="4:11" s="65" customFormat="1" ht="12.75">
      <c r="D220" s="65" t="s">
        <v>196</v>
      </c>
      <c r="H220" s="65">
        <v>0.02048</v>
      </c>
      <c r="I220" s="65">
        <v>0</v>
      </c>
      <c r="K220" s="65">
        <f>N190/1000*H220</f>
        <v>0</v>
      </c>
    </row>
    <row r="221" spans="4:11" s="65" customFormat="1" ht="12.75">
      <c r="D221" s="65" t="s">
        <v>198</v>
      </c>
      <c r="K221" s="65">
        <f>N191/1000*H221</f>
        <v>0</v>
      </c>
    </row>
    <row r="222" s="65" customFormat="1" ht="12.75">
      <c r="D222" s="65" t="s">
        <v>211</v>
      </c>
    </row>
    <row r="223" s="65" customFormat="1" ht="12.75">
      <c r="D223" s="65" t="s">
        <v>191</v>
      </c>
    </row>
    <row r="224" s="65" customFormat="1" ht="12.75">
      <c r="D224" s="65" t="s">
        <v>192</v>
      </c>
    </row>
    <row r="225" spans="4:11" s="65" customFormat="1" ht="12.75">
      <c r="D225" s="65" t="s">
        <v>158</v>
      </c>
      <c r="K225" s="69">
        <f>N174/1000*H225</f>
        <v>0</v>
      </c>
    </row>
    <row r="226" spans="4:11" s="65" customFormat="1" ht="12.75">
      <c r="D226" s="65" t="s">
        <v>196</v>
      </c>
      <c r="H226" s="65">
        <v>0.02295</v>
      </c>
      <c r="I226" s="65">
        <v>0</v>
      </c>
      <c r="K226" s="69">
        <f>N175/1000*H226</f>
        <v>0</v>
      </c>
    </row>
    <row r="227" spans="4:11" s="65" customFormat="1" ht="12.75">
      <c r="D227" s="65" t="s">
        <v>198</v>
      </c>
      <c r="H227" s="65">
        <v>0.025245</v>
      </c>
      <c r="I227" s="65">
        <v>0</v>
      </c>
      <c r="K227" s="69">
        <f>N176/1000*H227</f>
        <v>0.0728192025</v>
      </c>
    </row>
    <row r="228" spans="5:11" s="65" customFormat="1" ht="12.75">
      <c r="E228" s="65" t="s">
        <v>201</v>
      </c>
      <c r="G228" s="65">
        <v>0</v>
      </c>
      <c r="I228" s="65">
        <v>0</v>
      </c>
      <c r="K228" s="69"/>
    </row>
    <row r="229" s="65" customFormat="1" ht="12.75">
      <c r="K229" s="69"/>
    </row>
    <row r="230" spans="1:11" s="65" customFormat="1" ht="12.75">
      <c r="A230" s="65" t="s">
        <v>217</v>
      </c>
      <c r="B230" s="65" t="s">
        <v>218</v>
      </c>
      <c r="D230" s="65" t="s">
        <v>203</v>
      </c>
      <c r="K230" s="69"/>
    </row>
    <row r="231" spans="4:11" s="65" customFormat="1" ht="12.75">
      <c r="D231" s="65" t="s">
        <v>209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158</v>
      </c>
      <c r="H233" s="65">
        <v>0.027585</v>
      </c>
      <c r="I233" s="65">
        <v>0</v>
      </c>
      <c r="K233" s="69">
        <f>N189/1000*H233</f>
        <v>0</v>
      </c>
    </row>
    <row r="234" spans="4:11" s="65" customFormat="1" ht="12.75">
      <c r="D234" s="65" t="s">
        <v>196</v>
      </c>
      <c r="H234" s="65">
        <v>0.3065</v>
      </c>
      <c r="I234" s="65">
        <v>0</v>
      </c>
      <c r="K234" s="69">
        <f>N190/1000*H234</f>
        <v>0</v>
      </c>
    </row>
    <row r="235" spans="4:11" s="65" customFormat="1" ht="12.75">
      <c r="D235" s="65" t="s">
        <v>198</v>
      </c>
      <c r="K235" s="69">
        <f>N191/1000*H235</f>
        <v>0</v>
      </c>
    </row>
    <row r="236" spans="4:11" s="65" customFormat="1" ht="12.75">
      <c r="D236" s="65" t="s">
        <v>211</v>
      </c>
      <c r="K236" s="69"/>
    </row>
    <row r="237" spans="4:11" s="65" customFormat="1" ht="12.75">
      <c r="D237" s="65" t="s">
        <v>191</v>
      </c>
      <c r="K237" s="69"/>
    </row>
    <row r="238" spans="4:11" s="65" customFormat="1" ht="12.75">
      <c r="D238" s="65" t="s">
        <v>192</v>
      </c>
      <c r="K238" s="69"/>
    </row>
    <row r="239" spans="4:11" s="65" customFormat="1" ht="12.75">
      <c r="D239" s="65" t="s">
        <v>158</v>
      </c>
      <c r="K239" s="69">
        <f>N174/1000*H239</f>
        <v>0</v>
      </c>
    </row>
    <row r="240" spans="4:11" s="65" customFormat="1" ht="12.75">
      <c r="D240" s="65" t="s">
        <v>196</v>
      </c>
      <c r="H240" s="65">
        <v>0.00539</v>
      </c>
      <c r="I240" s="65">
        <v>0</v>
      </c>
      <c r="K240" s="69">
        <f>N175/1000*H240</f>
        <v>0</v>
      </c>
    </row>
    <row r="241" spans="4:11" s="65" customFormat="1" ht="12.75">
      <c r="D241" s="65" t="s">
        <v>198</v>
      </c>
      <c r="H241" s="65">
        <v>0.005929</v>
      </c>
      <c r="I241" s="65">
        <v>0</v>
      </c>
      <c r="K241" s="69">
        <f>N176/1000*H241</f>
        <v>0.0171022005</v>
      </c>
    </row>
    <row r="242" spans="5:11" s="65" customFormat="1" ht="12.75">
      <c r="E242" s="65" t="s">
        <v>201</v>
      </c>
      <c r="G242" s="65">
        <v>0</v>
      </c>
      <c r="I242" s="65">
        <v>0</v>
      </c>
      <c r="K242" s="69"/>
    </row>
    <row r="243" s="65" customFormat="1" ht="12.75">
      <c r="K243" s="69"/>
    </row>
    <row r="244" spans="1:11" s="65" customFormat="1" ht="12.75">
      <c r="A244" s="65" t="s">
        <v>219</v>
      </c>
      <c r="B244" s="65" t="s">
        <v>220</v>
      </c>
      <c r="D244" s="65" t="s">
        <v>203</v>
      </c>
      <c r="K244" s="69"/>
    </row>
    <row r="245" spans="2:11" s="65" customFormat="1" ht="12.75">
      <c r="B245" s="65" t="s">
        <v>214</v>
      </c>
      <c r="D245" s="65" t="s">
        <v>209</v>
      </c>
      <c r="K245" s="69"/>
    </row>
    <row r="246" spans="4:11" s="65" customFormat="1" ht="12.75">
      <c r="D246" s="65" t="s">
        <v>191</v>
      </c>
      <c r="K246" s="69"/>
    </row>
    <row r="247" spans="4:11" s="65" customFormat="1" ht="12.75">
      <c r="D247" s="65" t="s">
        <v>158</v>
      </c>
      <c r="H247" s="65">
        <v>0.022437</v>
      </c>
      <c r="I247" s="65">
        <v>0</v>
      </c>
      <c r="K247" s="69">
        <f>N189/1000*H247</f>
        <v>0</v>
      </c>
    </row>
    <row r="248" spans="4:11" s="65" customFormat="1" ht="12.75">
      <c r="D248" s="65" t="s">
        <v>196</v>
      </c>
      <c r="H248" s="65">
        <v>0.02493</v>
      </c>
      <c r="I248" s="65">
        <v>0</v>
      </c>
      <c r="K248" s="69">
        <f>N190/1000*H248</f>
        <v>0</v>
      </c>
    </row>
    <row r="249" spans="4:11" s="65" customFormat="1" ht="12.75">
      <c r="D249" s="65" t="s">
        <v>198</v>
      </c>
      <c r="K249" s="65">
        <f>N191/1000*H249</f>
        <v>0</v>
      </c>
    </row>
    <row r="250" s="65" customFormat="1" ht="12.75">
      <c r="D250" s="65" t="s">
        <v>211</v>
      </c>
    </row>
    <row r="251" s="65" customFormat="1" ht="12.75">
      <c r="D251" s="65" t="s">
        <v>191</v>
      </c>
    </row>
    <row r="252" s="65" customFormat="1" ht="12.75">
      <c r="D252" s="65" t="s">
        <v>192</v>
      </c>
    </row>
    <row r="253" spans="4:11" s="65" customFormat="1" ht="12.75">
      <c r="D253" s="65" t="s">
        <v>158</v>
      </c>
      <c r="K253" s="69">
        <f>N174/1000*H253</f>
        <v>0</v>
      </c>
    </row>
    <row r="254" spans="4:11" s="65" customFormat="1" ht="12.75">
      <c r="D254" s="65" t="s">
        <v>196</v>
      </c>
      <c r="H254" s="65">
        <v>0.00888</v>
      </c>
      <c r="I254" s="65">
        <v>0</v>
      </c>
      <c r="K254" s="69">
        <f>N175/1000*H254</f>
        <v>0</v>
      </c>
    </row>
    <row r="255" spans="4:11" s="65" customFormat="1" ht="12.75">
      <c r="D255" s="65" t="s">
        <v>198</v>
      </c>
      <c r="H255" s="65">
        <v>0.009768</v>
      </c>
      <c r="I255" s="65">
        <v>0</v>
      </c>
      <c r="K255" s="69">
        <f>N176/1000*H255</f>
        <v>0.028175796000000003</v>
      </c>
    </row>
    <row r="256" spans="5:11" s="65" customFormat="1" ht="12.75">
      <c r="E256" s="65" t="s">
        <v>201</v>
      </c>
      <c r="G256" s="65">
        <v>0</v>
      </c>
      <c r="I256" s="65">
        <v>0</v>
      </c>
      <c r="K256" s="69"/>
    </row>
    <row r="257" s="65" customFormat="1" ht="12.75">
      <c r="K257" s="69"/>
    </row>
    <row r="258" spans="2:4" s="65" customFormat="1" ht="12.75">
      <c r="B258" s="65" t="s">
        <v>221</v>
      </c>
      <c r="D258" s="65" t="s">
        <v>203</v>
      </c>
    </row>
    <row r="259" s="65" customFormat="1" ht="12.75">
      <c r="D259" s="65" t="s">
        <v>204</v>
      </c>
    </row>
    <row r="260" s="65" customFormat="1" ht="12.75">
      <c r="D260" s="65" t="s">
        <v>205</v>
      </c>
    </row>
    <row r="261" s="65" customFormat="1" ht="12.75">
      <c r="D261" s="65" t="s">
        <v>191</v>
      </c>
    </row>
    <row r="262" spans="4:11" s="65" customFormat="1" ht="12.75">
      <c r="D262" s="65" t="s">
        <v>158</v>
      </c>
      <c r="H262" s="65">
        <v>0.0243</v>
      </c>
      <c r="K262" s="69">
        <f>N202/1000*H262</f>
        <v>0</v>
      </c>
    </row>
    <row r="263" spans="4:11" s="65" customFormat="1" ht="12.75">
      <c r="D263" s="65" t="s">
        <v>196</v>
      </c>
      <c r="H263" s="65">
        <v>0.027</v>
      </c>
      <c r="K263" s="69">
        <f>N203/1000*H263</f>
        <v>0</v>
      </c>
    </row>
    <row r="264" spans="4:11" s="65" customFormat="1" ht="12.75">
      <c r="D264" s="65" t="s">
        <v>198</v>
      </c>
      <c r="H264" s="65">
        <v>0.0297</v>
      </c>
      <c r="K264" s="69">
        <f>N204/1000*H264</f>
        <v>0.08566965</v>
      </c>
    </row>
    <row r="265" spans="1:11" s="65" customFormat="1" ht="12.75">
      <c r="A265" s="65" t="s">
        <v>222</v>
      </c>
      <c r="B265" s="65" t="s">
        <v>223</v>
      </c>
      <c r="D265" s="65" t="s">
        <v>203</v>
      </c>
      <c r="K265" s="69"/>
    </row>
    <row r="266" spans="4:11" s="65" customFormat="1" ht="12.75">
      <c r="D266" s="65" t="s">
        <v>209</v>
      </c>
      <c r="K266" s="69"/>
    </row>
    <row r="267" spans="4:11" s="65" customFormat="1" ht="12.75">
      <c r="D267" s="65" t="s">
        <v>191</v>
      </c>
      <c r="K267" s="69"/>
    </row>
    <row r="268" spans="4:11" s="65" customFormat="1" ht="12.75">
      <c r="D268" s="65" t="s">
        <v>158</v>
      </c>
      <c r="H268" s="65">
        <v>0.01773</v>
      </c>
      <c r="I268" s="65">
        <v>0</v>
      </c>
      <c r="K268" s="69">
        <f>N189/1000*H268</f>
        <v>0</v>
      </c>
    </row>
    <row r="269" spans="4:11" s="65" customFormat="1" ht="12.75">
      <c r="D269" s="65" t="s">
        <v>196</v>
      </c>
      <c r="H269" s="65">
        <v>0.0197</v>
      </c>
      <c r="I269" s="65">
        <v>0</v>
      </c>
      <c r="K269" s="69">
        <f>N190/1000*H269</f>
        <v>0</v>
      </c>
    </row>
    <row r="270" spans="4:11" s="65" customFormat="1" ht="12.75">
      <c r="D270" s="65" t="s">
        <v>198</v>
      </c>
      <c r="K270" s="69">
        <f>N191/1000*H270</f>
        <v>0</v>
      </c>
    </row>
    <row r="271" spans="4:11" s="65" customFormat="1" ht="12.75">
      <c r="D271" s="65" t="s">
        <v>211</v>
      </c>
      <c r="K271" s="69"/>
    </row>
    <row r="272" spans="4:11" s="65" customFormat="1" ht="12.75">
      <c r="D272" s="65" t="s">
        <v>191</v>
      </c>
      <c r="K272" s="69"/>
    </row>
    <row r="273" spans="4:11" s="65" customFormat="1" ht="12.75">
      <c r="D273" s="65" t="s">
        <v>192</v>
      </c>
      <c r="K273" s="69"/>
    </row>
    <row r="274" spans="4:11" s="65" customFormat="1" ht="12.75">
      <c r="D274" s="65" t="s">
        <v>158</v>
      </c>
      <c r="K274" s="69">
        <f>N174/1000*H274</f>
        <v>0</v>
      </c>
    </row>
    <row r="275" spans="4:11" s="65" customFormat="1" ht="12.75">
      <c r="D275" s="65" t="s">
        <v>196</v>
      </c>
      <c r="H275" s="65">
        <v>0.0018</v>
      </c>
      <c r="I275" s="65">
        <v>0</v>
      </c>
      <c r="K275" s="69">
        <f>N175/1000*H275</f>
        <v>0</v>
      </c>
    </row>
    <row r="276" spans="4:11" s="65" customFormat="1" ht="12.75">
      <c r="D276" s="65" t="s">
        <v>198</v>
      </c>
      <c r="H276" s="65">
        <v>0.00198</v>
      </c>
      <c r="I276" s="65">
        <v>0</v>
      </c>
      <c r="K276" s="69">
        <f>N176/1000*H276</f>
        <v>0.00571131</v>
      </c>
    </row>
    <row r="277" spans="5:11" s="65" customFormat="1" ht="12.75">
      <c r="E277" s="65" t="s">
        <v>201</v>
      </c>
      <c r="G277" s="65">
        <v>0</v>
      </c>
      <c r="I277" s="65">
        <v>0</v>
      </c>
      <c r="K277" s="69"/>
    </row>
    <row r="278" s="65" customFormat="1" ht="12.75">
      <c r="K278" s="69"/>
    </row>
    <row r="279" spans="2:7" s="65" customFormat="1" ht="12.75">
      <c r="B279" s="65" t="s">
        <v>224</v>
      </c>
      <c r="D279" s="65" t="s">
        <v>203</v>
      </c>
      <c r="G279" s="65" t="s">
        <v>225</v>
      </c>
    </row>
    <row r="280" spans="4:7" s="65" customFormat="1" ht="12.75">
      <c r="D280" s="65" t="s">
        <v>204</v>
      </c>
      <c r="G280" s="65" t="s">
        <v>226</v>
      </c>
    </row>
    <row r="281" spans="4:7" s="65" customFormat="1" ht="12.75">
      <c r="D281" s="65" t="s">
        <v>205</v>
      </c>
      <c r="G281" s="65" t="s">
        <v>227</v>
      </c>
    </row>
    <row r="282" s="65" customFormat="1" ht="12.75">
      <c r="D282" s="65" t="s">
        <v>191</v>
      </c>
    </row>
    <row r="283" spans="4:11" s="65" customFormat="1" ht="12.75">
      <c r="D283" s="65" t="s">
        <v>158</v>
      </c>
      <c r="H283" s="65">
        <v>0.02367</v>
      </c>
      <c r="K283" s="69">
        <f>N184/1000*H283</f>
        <v>0</v>
      </c>
    </row>
    <row r="284" spans="4:11" s="65" customFormat="1" ht="12.75">
      <c r="D284" s="65" t="s">
        <v>196</v>
      </c>
      <c r="H284" s="65">
        <v>0.0263</v>
      </c>
      <c r="K284" s="69">
        <f>N185/1000*H284</f>
        <v>0</v>
      </c>
    </row>
    <row r="285" spans="4:11" s="65" customFormat="1" ht="12.75">
      <c r="D285" s="65" t="s">
        <v>198</v>
      </c>
      <c r="H285" s="65">
        <v>0.02893</v>
      </c>
      <c r="K285" s="69">
        <f>N186/1000*H285</f>
        <v>0.015975146000000003</v>
      </c>
    </row>
    <row r="286" s="65" customFormat="1" ht="12.75">
      <c r="K286" s="69"/>
    </row>
    <row r="287" spans="1:11" s="65" customFormat="1" ht="12.75">
      <c r="A287" s="65" t="s">
        <v>228</v>
      </c>
      <c r="B287" s="65" t="s">
        <v>229</v>
      </c>
      <c r="D287" s="65" t="s">
        <v>203</v>
      </c>
      <c r="K287" s="69"/>
    </row>
    <row r="288" spans="2:11" s="65" customFormat="1" ht="12.75">
      <c r="B288" s="65" t="s">
        <v>230</v>
      </c>
      <c r="D288" s="65" t="s">
        <v>209</v>
      </c>
      <c r="K288" s="69"/>
    </row>
    <row r="289" spans="4:11" s="65" customFormat="1" ht="12.75">
      <c r="D289" s="65" t="s">
        <v>191</v>
      </c>
      <c r="K289" s="69"/>
    </row>
    <row r="290" spans="4:11" s="65" customFormat="1" ht="12.75">
      <c r="D290" s="65" t="s">
        <v>158</v>
      </c>
      <c r="H290" s="65">
        <v>0.014679</v>
      </c>
      <c r="I290" s="65">
        <v>0</v>
      </c>
      <c r="K290" s="69">
        <f>N189/1000*H290</f>
        <v>0</v>
      </c>
    </row>
    <row r="291" spans="4:11" s="65" customFormat="1" ht="12.75">
      <c r="D291" s="65" t="s">
        <v>196</v>
      </c>
      <c r="H291" s="65">
        <v>0.01631</v>
      </c>
      <c r="I291" s="65">
        <v>0</v>
      </c>
      <c r="K291" s="69">
        <f>N190/1000*H291</f>
        <v>0</v>
      </c>
    </row>
    <row r="292" spans="4:11" s="65" customFormat="1" ht="12.75">
      <c r="D292" s="65" t="s">
        <v>198</v>
      </c>
      <c r="K292" s="69">
        <f>N191/1000*H292</f>
        <v>0</v>
      </c>
    </row>
    <row r="293" spans="4:11" s="65" customFormat="1" ht="12.75">
      <c r="D293" s="65" t="s">
        <v>211</v>
      </c>
      <c r="K293" s="69"/>
    </row>
    <row r="294" spans="4:11" s="65" customFormat="1" ht="12.75">
      <c r="D294" s="65" t="s">
        <v>191</v>
      </c>
      <c r="K294" s="69"/>
    </row>
    <row r="295" spans="4:11" s="65" customFormat="1" ht="12.75">
      <c r="D295" s="65" t="s">
        <v>192</v>
      </c>
      <c r="K295" s="69"/>
    </row>
    <row r="296" spans="4:11" s="65" customFormat="1" ht="12.75">
      <c r="D296" s="65" t="s">
        <v>158</v>
      </c>
      <c r="K296" s="69">
        <f>N174/1000*H296</f>
        <v>0</v>
      </c>
    </row>
    <row r="297" spans="4:11" s="65" customFormat="1" ht="12.75">
      <c r="D297" s="65" t="s">
        <v>196</v>
      </c>
      <c r="H297" s="65">
        <v>0.01631</v>
      </c>
      <c r="I297" s="65">
        <v>0</v>
      </c>
      <c r="K297" s="69">
        <f>N175/1000*H297</f>
        <v>0</v>
      </c>
    </row>
    <row r="298" spans="4:11" s="65" customFormat="1" ht="12.75">
      <c r="D298" s="65" t="s">
        <v>198</v>
      </c>
      <c r="H298" s="65">
        <v>0.017941</v>
      </c>
      <c r="I298" s="65">
        <v>0</v>
      </c>
      <c r="K298" s="69">
        <f>N176/1000*H298</f>
        <v>0.0517508145</v>
      </c>
    </row>
    <row r="299" spans="5:11" s="65" customFormat="1" ht="12.75">
      <c r="E299" s="65" t="s">
        <v>201</v>
      </c>
      <c r="G299" s="65">
        <v>0</v>
      </c>
      <c r="I299" s="65">
        <v>0</v>
      </c>
      <c r="K299" s="69"/>
    </row>
    <row r="300" s="65" customFormat="1" ht="12.75">
      <c r="K300" s="69"/>
    </row>
    <row r="301" spans="1:11" s="65" customFormat="1" ht="12.75">
      <c r="A301" s="65" t="s">
        <v>231</v>
      </c>
      <c r="B301" s="65" t="s">
        <v>232</v>
      </c>
      <c r="D301" s="65" t="s">
        <v>203</v>
      </c>
      <c r="K301" s="69"/>
    </row>
    <row r="302" spans="2:11" s="65" customFormat="1" ht="12.75">
      <c r="B302" s="65" t="s">
        <v>233</v>
      </c>
      <c r="D302" s="65" t="s">
        <v>211</v>
      </c>
      <c r="K302" s="69"/>
    </row>
    <row r="303" spans="4:11" s="65" customFormat="1" ht="12.75">
      <c r="D303" s="65" t="s">
        <v>209</v>
      </c>
      <c r="K303" s="69"/>
    </row>
    <row r="304" spans="4:11" s="65" customFormat="1" ht="12.75">
      <c r="D304" s="65" t="s">
        <v>234</v>
      </c>
      <c r="K304" s="69"/>
    </row>
    <row r="305" spans="4:11" s="65" customFormat="1" ht="12.75">
      <c r="D305" s="65" t="s">
        <v>235</v>
      </c>
      <c r="F305" s="65" t="s">
        <v>236</v>
      </c>
      <c r="K305" s="69"/>
    </row>
    <row r="306" spans="4:11" s="65" customFormat="1" ht="12.75">
      <c r="D306" s="65" t="s">
        <v>191</v>
      </c>
      <c r="F306" s="65" t="s">
        <v>237</v>
      </c>
      <c r="K306" s="69"/>
    </row>
    <row r="307" spans="4:11" s="65" customFormat="1" ht="12.75">
      <c r="D307" s="65" t="s">
        <v>158</v>
      </c>
      <c r="H307" s="65">
        <v>41000</v>
      </c>
      <c r="I307" s="65">
        <v>0</v>
      </c>
      <c r="K307" s="69">
        <f>N202/H307</f>
        <v>0</v>
      </c>
    </row>
    <row r="308" spans="4:11" s="65" customFormat="1" ht="12.75">
      <c r="D308" s="65" t="s">
        <v>196</v>
      </c>
      <c r="H308" s="65">
        <v>39000</v>
      </c>
      <c r="I308" s="65">
        <v>0</v>
      </c>
      <c r="K308" s="69">
        <f>N203/H308</f>
        <v>0</v>
      </c>
    </row>
    <row r="309" spans="4:11" s="65" customFormat="1" ht="12.75">
      <c r="D309" s="65" t="s">
        <v>198</v>
      </c>
      <c r="H309" s="65">
        <v>37000</v>
      </c>
      <c r="I309" s="65">
        <v>0</v>
      </c>
      <c r="K309" s="69">
        <f>N204/H309</f>
        <v>0.07795945945945947</v>
      </c>
    </row>
    <row r="310" s="65" customFormat="1" ht="12.75">
      <c r="K310" s="69"/>
    </row>
    <row r="311" spans="4:11" s="65" customFormat="1" ht="12.75">
      <c r="D311" s="65" t="s">
        <v>238</v>
      </c>
      <c r="K311" s="69"/>
    </row>
    <row r="312" spans="4:11" s="65" customFormat="1" ht="12.75">
      <c r="D312" s="65" t="s">
        <v>239</v>
      </c>
      <c r="F312" s="65" t="s">
        <v>240</v>
      </c>
      <c r="K312" s="69"/>
    </row>
    <row r="313" spans="4:11" s="65" customFormat="1" ht="12.75">
      <c r="D313" s="65" t="s">
        <v>191</v>
      </c>
      <c r="K313" s="69"/>
    </row>
    <row r="314" spans="4:11" s="65" customFormat="1" ht="12.75">
      <c r="D314" s="65" t="s">
        <v>158</v>
      </c>
      <c r="H314" s="65">
        <v>450</v>
      </c>
      <c r="I314" s="65">
        <v>0</v>
      </c>
      <c r="K314" s="69">
        <f>N207/H314</f>
        <v>0</v>
      </c>
    </row>
    <row r="315" spans="4:11" s="65" customFormat="1" ht="12.75">
      <c r="D315" s="65" t="s">
        <v>196</v>
      </c>
      <c r="H315" s="65">
        <v>375</v>
      </c>
      <c r="I315" s="65">
        <v>0</v>
      </c>
      <c r="K315" s="69">
        <f>N208/H315</f>
        <v>0</v>
      </c>
    </row>
    <row r="316" spans="4:11" s="65" customFormat="1" ht="12.75">
      <c r="D316" s="65" t="s">
        <v>198</v>
      </c>
      <c r="H316" s="65">
        <v>310</v>
      </c>
      <c r="I316" s="65">
        <v>0</v>
      </c>
      <c r="K316" s="69">
        <f>N209/H316</f>
        <v>0.1935483870967742</v>
      </c>
    </row>
    <row r="317" spans="5:11" s="65" customFormat="1" ht="12.75">
      <c r="E317" s="65" t="s">
        <v>201</v>
      </c>
      <c r="G317" s="65">
        <v>0</v>
      </c>
      <c r="I317" s="65">
        <v>0</v>
      </c>
      <c r="K317" s="69"/>
    </row>
    <row r="318" s="65" customFormat="1" ht="12.75">
      <c r="K318" s="69"/>
    </row>
    <row r="319" spans="1:11" s="65" customFormat="1" ht="12.75">
      <c r="A319" s="65" t="s">
        <v>241</v>
      </c>
      <c r="B319" s="65" t="s">
        <v>242</v>
      </c>
      <c r="D319" s="65" t="s">
        <v>243</v>
      </c>
      <c r="K319" s="69"/>
    </row>
    <row r="320" spans="4:11" s="65" customFormat="1" ht="12.75">
      <c r="D320" s="65" t="s">
        <v>244</v>
      </c>
      <c r="F320" s="65" t="s">
        <v>240</v>
      </c>
      <c r="K320" s="69"/>
    </row>
    <row r="321" spans="4:11" s="65" customFormat="1" ht="12.75">
      <c r="D321" s="65" t="s">
        <v>245</v>
      </c>
      <c r="K321" s="69"/>
    </row>
    <row r="322" spans="4:11" s="65" customFormat="1" ht="12.75">
      <c r="D322" s="65" t="s">
        <v>158</v>
      </c>
      <c r="H322" s="65">
        <v>2350</v>
      </c>
      <c r="I322" s="65">
        <v>0</v>
      </c>
      <c r="K322" s="69">
        <f>N207/H322</f>
        <v>0</v>
      </c>
    </row>
    <row r="323" spans="4:11" s="65" customFormat="1" ht="12.75">
      <c r="D323" s="65" t="s">
        <v>196</v>
      </c>
      <c r="H323" s="65">
        <v>2250</v>
      </c>
      <c r="I323" s="65">
        <v>0</v>
      </c>
      <c r="K323" s="69">
        <f>N208/H323</f>
        <v>0</v>
      </c>
    </row>
    <row r="324" spans="4:11" s="65" customFormat="1" ht="12.75">
      <c r="D324" s="65" t="s">
        <v>198</v>
      </c>
      <c r="H324" s="65">
        <v>2200</v>
      </c>
      <c r="I324" s="65">
        <v>0</v>
      </c>
      <c r="K324" s="69">
        <f>N209/H324</f>
        <v>0.02727272727272727</v>
      </c>
    </row>
    <row r="325" spans="5:11" s="65" customFormat="1" ht="12.75">
      <c r="E325" s="65" t="s">
        <v>201</v>
      </c>
      <c r="G325" s="65">
        <v>0</v>
      </c>
      <c r="I325" s="65">
        <v>0</v>
      </c>
      <c r="K325" s="69"/>
    </row>
    <row r="326" s="65" customFormat="1" ht="12.75">
      <c r="K326" s="69">
        <f>K188+K189+K190+K198+K199+K200+K205+K206+K207+K211+K212+K213+K219+K220+K221+K225+K226+K227+K233+K234+K235+K239+K240+K241+K247+K248+K249+K253+K254+K255+K262+K263+K264+K268+K269+K270+K274+K275+K276+K283+K284+K285+K290+K291+K292+K296+K297+K298+K307+K308+K309+K314+K315+K316+K322+K323+K324</f>
        <v>0.674258148328961</v>
      </c>
    </row>
    <row r="327" spans="1:11" s="65" customFormat="1" ht="12.75">
      <c r="A327" s="65" t="s">
        <v>246</v>
      </c>
      <c r="B327" s="65" t="s">
        <v>247</v>
      </c>
      <c r="F327" s="65" t="s">
        <v>248</v>
      </c>
      <c r="I327" s="65">
        <v>1</v>
      </c>
      <c r="K327" s="69">
        <f>K326*1.12</f>
        <v>0.7551691261284365</v>
      </c>
    </row>
    <row r="328" s="65" customFormat="1" ht="12.75">
      <c r="B328" s="65" t="s">
        <v>249</v>
      </c>
    </row>
    <row r="329" s="65" customFormat="1" ht="12.75">
      <c r="B329" s="65" t="s">
        <v>250</v>
      </c>
    </row>
    <row r="330" s="65" customFormat="1" ht="12.75"/>
    <row r="331" spans="1:9" s="65" customFormat="1" ht="12.75">
      <c r="A331" s="65" t="s">
        <v>251</v>
      </c>
      <c r="B331" s="65" t="s">
        <v>252</v>
      </c>
      <c r="I331" s="65">
        <v>2</v>
      </c>
    </row>
    <row r="332" spans="1:9" s="65" customFormat="1" ht="12.75">
      <c r="A332" s="65" t="s">
        <v>253</v>
      </c>
      <c r="B332" s="65" t="s">
        <v>254</v>
      </c>
      <c r="I332" s="65">
        <v>1</v>
      </c>
    </row>
    <row r="333" spans="1:9" s="65" customFormat="1" ht="12.75">
      <c r="A333" s="65" t="s">
        <v>255</v>
      </c>
      <c r="B333" s="65" t="s">
        <v>256</v>
      </c>
      <c r="I333" s="65">
        <v>1</v>
      </c>
    </row>
    <row r="334" spans="2:9" s="65" customFormat="1" ht="12.75">
      <c r="B334" s="65" t="s">
        <v>257</v>
      </c>
      <c r="I334" s="65">
        <v>5</v>
      </c>
    </row>
    <row r="335" s="65" customFormat="1" ht="12.75">
      <c r="F335" s="65" t="s">
        <v>258</v>
      </c>
    </row>
    <row r="336" spans="1:9" s="65" customFormat="1" ht="12.75">
      <c r="A336" s="65" t="s">
        <v>259</v>
      </c>
      <c r="B336" s="65" t="s">
        <v>260</v>
      </c>
      <c r="E336" s="65" t="s">
        <v>261</v>
      </c>
      <c r="H336" s="65">
        <v>1200</v>
      </c>
      <c r="I336" s="65">
        <f>G336/H336</f>
        <v>0</v>
      </c>
    </row>
    <row r="337" spans="5:9" s="65" customFormat="1" ht="12.75">
      <c r="E337" s="65" t="s">
        <v>262</v>
      </c>
      <c r="G337" s="65">
        <v>793</v>
      </c>
      <c r="H337" s="65">
        <v>1650</v>
      </c>
      <c r="I337" s="69">
        <f>G337/H337</f>
        <v>0.4806060606060606</v>
      </c>
    </row>
    <row r="338" spans="5:9" s="65" customFormat="1" ht="12.75">
      <c r="E338" s="65" t="s">
        <v>263</v>
      </c>
      <c r="G338" s="65">
        <v>2912</v>
      </c>
      <c r="H338" s="65">
        <v>9000</v>
      </c>
      <c r="I338" s="69">
        <f>G338/H338</f>
        <v>0.32355555555555554</v>
      </c>
    </row>
    <row r="339" spans="3:9" s="65" customFormat="1" ht="12.75">
      <c r="C339" s="65" t="s">
        <v>201</v>
      </c>
      <c r="G339" s="65">
        <f>G337+G338</f>
        <v>3705</v>
      </c>
      <c r="I339" s="69">
        <f>I336+I337+I338</f>
        <v>0.8041616161616161</v>
      </c>
    </row>
    <row r="340" s="65" customFormat="1" ht="12.75">
      <c r="F340" s="65" t="s">
        <v>258</v>
      </c>
    </row>
    <row r="341" spans="1:9" s="65" customFormat="1" ht="12.75">
      <c r="A341" s="65" t="s">
        <v>264</v>
      </c>
      <c r="B341" s="65" t="s">
        <v>265</v>
      </c>
      <c r="E341" s="65" t="s">
        <v>266</v>
      </c>
      <c r="G341" s="65">
        <v>270</v>
      </c>
      <c r="H341" s="65">
        <v>800</v>
      </c>
      <c r="I341" s="69">
        <f>G341/H341</f>
        <v>0.3375</v>
      </c>
    </row>
    <row r="342" spans="2:9" s="65" customFormat="1" ht="12.75">
      <c r="B342" s="65" t="s">
        <v>267</v>
      </c>
      <c r="E342" s="65" t="s">
        <v>268</v>
      </c>
      <c r="H342" s="65">
        <v>960</v>
      </c>
      <c r="I342" s="69">
        <f>G342/H342</f>
        <v>0</v>
      </c>
    </row>
    <row r="343" s="65" customFormat="1" ht="12.75">
      <c r="E343" s="65" t="s">
        <v>269</v>
      </c>
    </row>
    <row r="344" spans="3:9" s="65" customFormat="1" ht="12.75">
      <c r="C344" s="65" t="s">
        <v>201</v>
      </c>
      <c r="G344" s="65">
        <f>G341+G342+G343</f>
        <v>270</v>
      </c>
      <c r="I344" s="69">
        <f>I341+I342</f>
        <v>0.3375</v>
      </c>
    </row>
    <row r="345" s="65" customFormat="1" ht="12.75">
      <c r="F345" s="65" t="s">
        <v>270</v>
      </c>
    </row>
    <row r="346" spans="1:9" s="65" customFormat="1" ht="12.75">
      <c r="A346" s="65" t="s">
        <v>271</v>
      </c>
      <c r="B346" s="65" t="s">
        <v>272</v>
      </c>
      <c r="E346" s="65" t="s">
        <v>273</v>
      </c>
      <c r="H346" s="65">
        <v>500</v>
      </c>
      <c r="I346" s="69">
        <f>G346/H346</f>
        <v>0</v>
      </c>
    </row>
    <row r="347" spans="5:9" s="65" customFormat="1" ht="12.75">
      <c r="E347" s="65" t="s">
        <v>274</v>
      </c>
      <c r="H347" s="65">
        <v>700</v>
      </c>
      <c r="I347" s="69">
        <f>G347/H347</f>
        <v>0</v>
      </c>
    </row>
    <row r="348" s="65" customFormat="1" ht="12.75">
      <c r="E348" s="65" t="s">
        <v>275</v>
      </c>
    </row>
    <row r="349" spans="3:9" s="65" customFormat="1" ht="12.75">
      <c r="C349" s="65" t="s">
        <v>201</v>
      </c>
      <c r="G349" s="65">
        <f>G346+G347</f>
        <v>0</v>
      </c>
      <c r="I349" s="69">
        <f>I346+I347</f>
        <v>0</v>
      </c>
    </row>
    <row r="350" spans="1:2" s="65" customFormat="1" ht="12.75">
      <c r="A350" s="65" t="s">
        <v>276</v>
      </c>
      <c r="B350" s="65" t="s">
        <v>277</v>
      </c>
    </row>
    <row r="351" spans="2:9" s="65" customFormat="1" ht="12.75">
      <c r="B351" s="65" t="s">
        <v>278</v>
      </c>
      <c r="I351" s="65">
        <v>2</v>
      </c>
    </row>
  </sheetData>
  <sheetProtection/>
  <mergeCells count="46">
    <mergeCell ref="C139:I139"/>
    <mergeCell ref="A148:G148"/>
    <mergeCell ref="A152:E152"/>
    <mergeCell ref="A154:G154"/>
    <mergeCell ref="A158:D158"/>
    <mergeCell ref="A1:K1"/>
    <mergeCell ref="A2:K2"/>
    <mergeCell ref="A106:E106"/>
    <mergeCell ref="C95:D95"/>
    <mergeCell ref="A100:F100"/>
    <mergeCell ref="A102:G102"/>
    <mergeCell ref="A104:D104"/>
    <mergeCell ref="E104:G104"/>
    <mergeCell ref="A80:G80"/>
    <mergeCell ref="A82:G82"/>
    <mergeCell ref="A84:D84"/>
    <mergeCell ref="A86:F86"/>
    <mergeCell ref="A90:E90"/>
    <mergeCell ref="A62:F62"/>
    <mergeCell ref="A64:F64"/>
    <mergeCell ref="A70:F70"/>
    <mergeCell ref="A73:E73"/>
    <mergeCell ref="A76:G76"/>
    <mergeCell ref="A78:E78"/>
    <mergeCell ref="A48:G48"/>
    <mergeCell ref="A50:G50"/>
    <mergeCell ref="A52:G52"/>
    <mergeCell ref="A56:G56"/>
    <mergeCell ref="A58:G58"/>
    <mergeCell ref="A60:G60"/>
    <mergeCell ref="A36:G36"/>
    <mergeCell ref="A38:E38"/>
    <mergeCell ref="A40:G40"/>
    <mergeCell ref="A42:G42"/>
    <mergeCell ref="A44:G44"/>
    <mergeCell ref="A46:G46"/>
    <mergeCell ref="A22:F22"/>
    <mergeCell ref="A24:F24"/>
    <mergeCell ref="A28:F28"/>
    <mergeCell ref="A30:G30"/>
    <mergeCell ref="A32:G32"/>
    <mergeCell ref="A34:G34"/>
    <mergeCell ref="A4:K4"/>
    <mergeCell ref="A5:K5"/>
    <mergeCell ref="A15:H15"/>
    <mergeCell ref="A17:G17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3:L14 M66 M82 M84 M94 H142:H144 H146 H148 K148 H154 H156 H158 H160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311"/>
  <sheetViews>
    <sheetView zoomScalePageLayoutView="0" workbookViewId="0" topLeftCell="A1">
      <selection activeCell="H122" sqref="H122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57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5" customHeight="1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63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9.11*1.042</f>
        <v>9.49262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65">
        <f>L6*4%</f>
        <v>0.3797048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54650.9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K17+K30+K46+K59+K66+K76</f>
        <v>51521.995708209935</v>
      </c>
      <c r="L15" s="68"/>
      <c r="M15" s="65" t="s">
        <v>73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74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H19+H21+H22+H24+H26+H27+H28+H20</f>
        <v>8548.426633475972</v>
      </c>
      <c r="M17" s="65" t="s">
        <v>76</v>
      </c>
      <c r="O17" s="69">
        <f>I299</f>
        <v>0.9634444444444445</v>
      </c>
    </row>
    <row r="18" spans="1:15" ht="12.75">
      <c r="A18" s="22" t="s">
        <v>77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I304</f>
        <v>0.688125</v>
      </c>
    </row>
    <row r="19" spans="1:15" ht="12.75">
      <c r="A19" s="113" t="s">
        <v>79</v>
      </c>
      <c r="B19" s="113"/>
      <c r="C19" s="113"/>
      <c r="D19" s="113"/>
      <c r="E19" s="113"/>
      <c r="F19" s="113"/>
      <c r="G19" s="22"/>
      <c r="H19" s="23">
        <f>O17*2600*1.75*1.07</f>
        <v>4690.529277777779</v>
      </c>
      <c r="I19" s="22"/>
      <c r="J19" s="22"/>
      <c r="K19" s="23"/>
      <c r="M19" s="65" t="s">
        <v>80</v>
      </c>
      <c r="O19" s="69"/>
    </row>
    <row r="20" spans="1:15" ht="12.75">
      <c r="A20" s="24" t="s">
        <v>81</v>
      </c>
      <c r="B20" s="24"/>
      <c r="C20" s="24"/>
      <c r="D20" s="24"/>
      <c r="E20" s="24"/>
      <c r="F20" s="24"/>
      <c r="G20" s="22"/>
      <c r="H20" s="23">
        <f>O18*2203*1.3*1.07</f>
        <v>2108.6716706250004</v>
      </c>
      <c r="I20" s="22"/>
      <c r="J20" s="22"/>
      <c r="K20" s="23"/>
      <c r="M20" s="65" t="s">
        <v>82</v>
      </c>
      <c r="O20" s="69">
        <v>5757.2</v>
      </c>
    </row>
    <row r="21" spans="1:15" ht="12.75" hidden="1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83</v>
      </c>
      <c r="O21" s="65">
        <v>349</v>
      </c>
    </row>
    <row r="22" spans="1:16" ht="12.75">
      <c r="A22" s="23">
        <f>H19+H20</f>
        <v>6799.2009484027785</v>
      </c>
      <c r="B22" s="22" t="s">
        <v>84</v>
      </c>
      <c r="C22" s="22"/>
      <c r="D22" s="22"/>
      <c r="E22" s="22"/>
      <c r="F22" s="22"/>
      <c r="G22" s="22"/>
      <c r="H22" s="23">
        <f>A22*0.142</f>
        <v>965.4865346731945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87</v>
      </c>
      <c r="B24" s="113"/>
      <c r="C24" s="113"/>
      <c r="D24" s="113"/>
      <c r="E24" s="113"/>
      <c r="F24" s="113"/>
      <c r="G24" s="22"/>
      <c r="H24" s="23">
        <f>0.057*O20</f>
        <v>328.1604</v>
      </c>
      <c r="I24" s="23"/>
      <c r="J24" s="22"/>
      <c r="K24" s="23"/>
      <c r="N24" s="65">
        <v>10</v>
      </c>
      <c r="P24" s="65">
        <f>O24/2</f>
        <v>0</v>
      </c>
    </row>
    <row r="25" spans="1:11" ht="12.75">
      <c r="A25" s="24" t="s">
        <v>88</v>
      </c>
      <c r="B25" s="24"/>
      <c r="C25" s="24"/>
      <c r="D25" s="24"/>
      <c r="E25" s="24"/>
      <c r="F25" s="24"/>
      <c r="G25" s="22"/>
      <c r="H25" s="23">
        <f>O20*0.0085</f>
        <v>48.9362</v>
      </c>
      <c r="I25" s="23"/>
      <c r="J25" s="22"/>
      <c r="K25" s="23"/>
    </row>
    <row r="26" spans="1:13" ht="12.75">
      <c r="A26" s="113" t="s">
        <v>89</v>
      </c>
      <c r="B26" s="113"/>
      <c r="C26" s="113"/>
      <c r="D26" s="113"/>
      <c r="E26" s="113"/>
      <c r="F26" s="113"/>
      <c r="G26" s="113"/>
      <c r="H26" s="23">
        <f>0.005*O20</f>
        <v>28.786</v>
      </c>
      <c r="I26" s="22"/>
      <c r="J26" s="22"/>
      <c r="K26" s="23"/>
      <c r="M26" s="65" t="s">
        <v>90</v>
      </c>
    </row>
    <row r="27" spans="1:15" ht="12.75">
      <c r="A27" s="113" t="s">
        <v>91</v>
      </c>
      <c r="B27" s="113"/>
      <c r="C27" s="113"/>
      <c r="D27" s="113"/>
      <c r="E27" s="113"/>
      <c r="F27" s="113"/>
      <c r="G27" s="113"/>
      <c r="H27" s="23">
        <f>O20*0.017</f>
        <v>97.8724</v>
      </c>
      <c r="I27" s="22"/>
      <c r="J27" s="22">
        <v>13606.82</v>
      </c>
      <c r="K27" s="23"/>
      <c r="M27" s="65" t="s">
        <v>92</v>
      </c>
      <c r="O27" s="65">
        <v>48</v>
      </c>
    </row>
    <row r="28" spans="1:15" ht="12.75">
      <c r="A28" s="113" t="s">
        <v>93</v>
      </c>
      <c r="B28" s="113"/>
      <c r="C28" s="113"/>
      <c r="D28" s="113"/>
      <c r="E28" s="113"/>
      <c r="F28" s="113"/>
      <c r="G28" s="113"/>
      <c r="H28" s="23">
        <f>0.054*O20*1.058</f>
        <v>328.9203504</v>
      </c>
      <c r="I28" s="22"/>
      <c r="J28" s="22"/>
      <c r="K28" s="23"/>
      <c r="M28" s="65" t="s">
        <v>94</v>
      </c>
      <c r="O28" s="65">
        <v>1050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H32+H33+H34+H35+H36+H37+H38+H40+H41+H42+H43+K41+H39+H44</f>
        <v>10796.309974444448</v>
      </c>
      <c r="M30" s="65" t="s">
        <v>96</v>
      </c>
      <c r="O30" s="69">
        <f>K287</f>
        <v>1.5814471959974348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3.8777777777777778</v>
      </c>
    </row>
    <row r="32" spans="1:11" ht="12.75">
      <c r="A32" s="113" t="s">
        <v>98</v>
      </c>
      <c r="B32" s="113"/>
      <c r="C32" s="113"/>
      <c r="D32" s="113"/>
      <c r="E32" s="113"/>
      <c r="F32" s="113"/>
      <c r="G32" s="113"/>
      <c r="H32" s="28">
        <f>(O21*1.5)/12*90.3*1.058</f>
        <v>4167.819075</v>
      </c>
      <c r="I32" s="22"/>
      <c r="J32" s="22"/>
      <c r="K32" s="29"/>
    </row>
    <row r="33" spans="1:11" ht="12.75">
      <c r="A33" s="113" t="s">
        <v>99</v>
      </c>
      <c r="B33" s="113"/>
      <c r="C33" s="113"/>
      <c r="D33" s="113"/>
      <c r="E33" s="113"/>
      <c r="F33" s="113"/>
      <c r="G33" s="113"/>
      <c r="H33" s="28">
        <f>O21*1.5*33.1/12*1.058</f>
        <v>1527.7387750000003</v>
      </c>
      <c r="I33" s="22"/>
      <c r="J33" s="22"/>
      <c r="K33" s="29"/>
    </row>
    <row r="34" spans="1:11" ht="12.75">
      <c r="A34" s="113" t="s">
        <v>100</v>
      </c>
      <c r="B34" s="113"/>
      <c r="C34" s="113"/>
      <c r="D34" s="113"/>
      <c r="E34" s="113"/>
      <c r="F34" s="113"/>
      <c r="G34" s="113"/>
      <c r="H34" s="28">
        <f>O28*2.48</f>
        <v>2604</v>
      </c>
      <c r="I34" s="22"/>
      <c r="J34" s="22"/>
      <c r="K34" s="29"/>
    </row>
    <row r="35" spans="1:11" ht="12.75">
      <c r="A35" s="113" t="s">
        <v>101</v>
      </c>
      <c r="B35" s="113"/>
      <c r="C35" s="113"/>
      <c r="D35" s="113"/>
      <c r="E35" s="113"/>
      <c r="F35" s="113"/>
      <c r="G35" s="113"/>
      <c r="H35" s="28">
        <f>O20*0.0277</f>
        <v>159.47444</v>
      </c>
      <c r="I35" s="22"/>
      <c r="J35" s="22"/>
      <c r="K35" s="29"/>
    </row>
    <row r="36" spans="1:11" ht="12.75">
      <c r="A36" s="113" t="s">
        <v>102</v>
      </c>
      <c r="B36" s="113"/>
      <c r="C36" s="113"/>
      <c r="D36" s="113"/>
      <c r="E36" s="113"/>
      <c r="F36" s="113"/>
      <c r="G36" s="113"/>
      <c r="H36" s="28">
        <f>O20*0.0027</f>
        <v>15.54444</v>
      </c>
      <c r="I36" s="22"/>
      <c r="J36" s="22"/>
      <c r="K36" s="29"/>
    </row>
    <row r="37" spans="1:11" ht="12.75">
      <c r="A37" s="113" t="s">
        <v>103</v>
      </c>
      <c r="B37" s="113"/>
      <c r="C37" s="113"/>
      <c r="D37" s="113"/>
      <c r="E37" s="113"/>
      <c r="F37" s="113"/>
      <c r="G37" s="113"/>
      <c r="H37" s="28">
        <f>O27*4.81/12</f>
        <v>19.24</v>
      </c>
      <c r="I37" s="22"/>
      <c r="J37" s="22"/>
      <c r="K37" s="29"/>
    </row>
    <row r="38" spans="1:12" ht="12.75">
      <c r="A38" s="113" t="s">
        <v>104</v>
      </c>
      <c r="B38" s="113"/>
      <c r="C38" s="113"/>
      <c r="D38" s="113"/>
      <c r="E38" s="113"/>
      <c r="F38" s="113"/>
      <c r="G38" s="113"/>
      <c r="H38" s="28">
        <f>119*80/12/3</f>
        <v>264.44444444444446</v>
      </c>
      <c r="I38" s="22"/>
      <c r="J38" s="22"/>
      <c r="K38" s="29"/>
      <c r="L38" s="65">
        <f>119*80*1.274/2/12</f>
        <v>505.3533333333333</v>
      </c>
    </row>
    <row r="39" spans="1:11" ht="12.75">
      <c r="A39" s="30" t="s">
        <v>105</v>
      </c>
      <c r="B39" s="30"/>
      <c r="C39" s="30"/>
      <c r="D39" s="30"/>
      <c r="E39" s="30"/>
      <c r="F39" s="30"/>
      <c r="G39" s="30"/>
      <c r="H39" s="31">
        <f>O20*0.216</f>
        <v>1243.5552</v>
      </c>
      <c r="I39" s="22"/>
      <c r="J39" s="22"/>
      <c r="K39" s="29"/>
    </row>
    <row r="40" spans="1:11" ht="12.75">
      <c r="A40" s="113" t="s">
        <v>106</v>
      </c>
      <c r="B40" s="113"/>
      <c r="C40" s="113"/>
      <c r="D40" s="113"/>
      <c r="E40" s="113"/>
      <c r="F40" s="113"/>
      <c r="G40" s="113"/>
      <c r="H40" s="28">
        <f>O20*0.027</f>
        <v>155.4444</v>
      </c>
      <c r="I40" s="22"/>
      <c r="J40" s="32"/>
      <c r="K40" s="29"/>
    </row>
    <row r="41" spans="1:11" ht="12.75">
      <c r="A41" s="113" t="s">
        <v>107</v>
      </c>
      <c r="B41" s="113"/>
      <c r="C41" s="113"/>
      <c r="D41" s="113"/>
      <c r="E41" s="113"/>
      <c r="F41" s="113"/>
      <c r="G41" s="113"/>
      <c r="H41" s="28">
        <f>O20*0.022</f>
        <v>126.65839999999999</v>
      </c>
      <c r="I41" s="22"/>
      <c r="J41" s="22"/>
      <c r="K41" s="29"/>
    </row>
    <row r="42" spans="1:11" ht="12.75">
      <c r="A42" s="113" t="s">
        <v>108</v>
      </c>
      <c r="B42" s="113"/>
      <c r="C42" s="113"/>
      <c r="D42" s="113"/>
      <c r="E42" s="113"/>
      <c r="F42" s="113"/>
      <c r="G42" s="113"/>
      <c r="H42" s="28">
        <f>O20*0.022</f>
        <v>126.65839999999999</v>
      </c>
      <c r="I42" s="22"/>
      <c r="J42" s="22"/>
      <c r="K42" s="29"/>
    </row>
    <row r="43" spans="1:11" ht="12.75">
      <c r="A43" s="113" t="s">
        <v>109</v>
      </c>
      <c r="B43" s="113"/>
      <c r="C43" s="113"/>
      <c r="D43" s="113"/>
      <c r="E43" s="113"/>
      <c r="F43" s="113"/>
      <c r="G43" s="24"/>
      <c r="H43" s="28">
        <f>O20*0.053</f>
        <v>305.1316</v>
      </c>
      <c r="I43" s="22"/>
      <c r="J43" s="22"/>
      <c r="K43" s="29"/>
    </row>
    <row r="44" spans="1:11" ht="12.75">
      <c r="A44" s="113" t="s">
        <v>110</v>
      </c>
      <c r="B44" s="113"/>
      <c r="C44" s="113"/>
      <c r="D44" s="113"/>
      <c r="E44" s="113"/>
      <c r="F44" s="113"/>
      <c r="G44" s="24"/>
      <c r="H44" s="28">
        <f>O20*0.014</f>
        <v>80.60079999999999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3" ht="15.75">
      <c r="A46" s="20" t="s">
        <v>111</v>
      </c>
      <c r="B46" s="20"/>
      <c r="C46" s="20"/>
      <c r="D46" s="20"/>
      <c r="E46" s="20"/>
      <c r="F46" s="20"/>
      <c r="G46" s="20"/>
      <c r="H46" s="27"/>
      <c r="I46" s="20"/>
      <c r="J46" s="20"/>
      <c r="K46" s="21">
        <f>H49+H51+H52+H53+H54+H55+H56+H57</f>
        <v>22485.588620289524</v>
      </c>
      <c r="M46" s="71" t="e">
        <f>K46/309084*#REF!</f>
        <v>#REF!</v>
      </c>
    </row>
    <row r="47" spans="1:11" ht="12.75">
      <c r="A47" s="22"/>
      <c r="B47" s="22" t="s">
        <v>64</v>
      </c>
      <c r="C47" s="22"/>
      <c r="D47" s="22"/>
      <c r="E47" s="22"/>
      <c r="F47" s="22"/>
      <c r="G47" s="22"/>
      <c r="H47" s="28"/>
      <c r="I47" s="22"/>
      <c r="J47" s="22"/>
      <c r="K47" s="29"/>
    </row>
    <row r="48" spans="1:11" ht="12.75">
      <c r="A48" s="33" t="s">
        <v>112</v>
      </c>
      <c r="B48" s="33"/>
      <c r="C48" s="33"/>
      <c r="D48" s="33"/>
      <c r="E48" s="33"/>
      <c r="F48" s="33"/>
      <c r="G48" s="33"/>
      <c r="H48" s="34"/>
      <c r="I48" s="33"/>
      <c r="J48" s="33"/>
      <c r="K48" s="35"/>
    </row>
    <row r="49" spans="1:11" ht="12.75">
      <c r="A49" s="111" t="s">
        <v>113</v>
      </c>
      <c r="B49" s="111"/>
      <c r="C49" s="111"/>
      <c r="D49" s="111"/>
      <c r="E49" s="111"/>
      <c r="F49" s="111"/>
      <c r="G49" s="36"/>
      <c r="H49" s="37">
        <f>K287*24.48*165.1*1.5*1.07</f>
        <v>10258.602899377867</v>
      </c>
      <c r="I49" s="38"/>
      <c r="J49" s="38"/>
      <c r="K49" s="35"/>
    </row>
    <row r="50" spans="1:11" ht="12.75">
      <c r="A50" s="33" t="s">
        <v>114</v>
      </c>
      <c r="B50" s="33"/>
      <c r="C50" s="33"/>
      <c r="D50" s="33"/>
      <c r="E50" s="33"/>
      <c r="F50" s="33"/>
      <c r="G50" s="33"/>
      <c r="H50" s="34"/>
      <c r="I50" s="33"/>
      <c r="J50" s="33"/>
      <c r="K50" s="35"/>
    </row>
    <row r="51" spans="1:11" ht="12.75">
      <c r="A51" s="39">
        <f>H49</f>
        <v>10258.602899377867</v>
      </c>
      <c r="B51" s="36" t="s">
        <v>115</v>
      </c>
      <c r="C51" s="36"/>
      <c r="D51" s="36"/>
      <c r="E51" s="36"/>
      <c r="F51" s="36"/>
      <c r="G51" s="38"/>
      <c r="H51" s="37">
        <f>H49*14.2%</f>
        <v>1456.721611711657</v>
      </c>
      <c r="I51" s="38"/>
      <c r="J51" s="38"/>
      <c r="K51" s="35"/>
    </row>
    <row r="52" spans="1:11" ht="12.75">
      <c r="A52" s="30" t="s">
        <v>86</v>
      </c>
      <c r="B52" s="30"/>
      <c r="C52" s="30"/>
      <c r="D52" s="30"/>
      <c r="E52" s="30"/>
      <c r="F52" s="40"/>
      <c r="G52" s="40"/>
      <c r="H52" s="37">
        <f>0.04*O20</f>
        <v>230.288</v>
      </c>
      <c r="I52" s="38"/>
      <c r="J52" s="38"/>
      <c r="K52" s="35"/>
    </row>
    <row r="53" spans="1:12" ht="12.75">
      <c r="A53" s="108" t="s">
        <v>116</v>
      </c>
      <c r="B53" s="108"/>
      <c r="C53" s="108"/>
      <c r="D53" s="108"/>
      <c r="E53" s="108"/>
      <c r="F53" s="108"/>
      <c r="G53" s="108"/>
      <c r="H53" s="37">
        <v>9550</v>
      </c>
      <c r="I53" s="38"/>
      <c r="J53" s="38"/>
      <c r="K53" s="35"/>
      <c r="L53" s="65">
        <f>0.97*O20</f>
        <v>5584.4839999999995</v>
      </c>
    </row>
    <row r="54" spans="1:11" ht="12.75">
      <c r="A54" s="108" t="s">
        <v>117</v>
      </c>
      <c r="B54" s="108"/>
      <c r="C54" s="108"/>
      <c r="D54" s="108"/>
      <c r="E54" s="108"/>
      <c r="F54" s="30"/>
      <c r="G54" s="30"/>
      <c r="H54" s="37">
        <f>0.0037*O20</f>
        <v>21.30164</v>
      </c>
      <c r="I54" s="38"/>
      <c r="J54" s="38"/>
      <c r="K54" s="35"/>
    </row>
    <row r="55" spans="1:12" ht="12.75">
      <c r="A55" s="108" t="s">
        <v>118</v>
      </c>
      <c r="B55" s="108"/>
      <c r="C55" s="108"/>
      <c r="D55" s="108"/>
      <c r="E55" s="108"/>
      <c r="F55" s="108"/>
      <c r="G55" s="108"/>
      <c r="H55" s="37">
        <f>O20*0.082</f>
        <v>472.0904</v>
      </c>
      <c r="I55" s="38"/>
      <c r="J55" s="38"/>
      <c r="K55" s="35"/>
      <c r="L55" s="69"/>
    </row>
    <row r="56" spans="1:13" ht="12.75">
      <c r="A56" s="108" t="s">
        <v>119</v>
      </c>
      <c r="B56" s="108"/>
      <c r="C56" s="108"/>
      <c r="D56" s="108"/>
      <c r="E56" s="108"/>
      <c r="F56" s="108"/>
      <c r="G56" s="108"/>
      <c r="H56" s="31">
        <f>O20*0.023*1.107</f>
        <v>146.5840692</v>
      </c>
      <c r="I56" s="33"/>
      <c r="J56" s="33"/>
      <c r="K56" s="35"/>
      <c r="M56" s="65" t="e">
        <f>36646.37/309083*#REF!</f>
        <v>#REF!</v>
      </c>
    </row>
    <row r="57" spans="1:11" ht="12.75">
      <c r="A57" s="41" t="s">
        <v>120</v>
      </c>
      <c r="B57" s="41"/>
      <c r="C57" s="41"/>
      <c r="D57" s="41"/>
      <c r="E57" s="40"/>
      <c r="F57" s="40"/>
      <c r="G57" s="40"/>
      <c r="H57" s="31">
        <v>350</v>
      </c>
      <c r="I57" s="40"/>
      <c r="J57" s="40"/>
      <c r="K57" s="35"/>
    </row>
    <row r="58" spans="1:11" ht="12.75">
      <c r="A58" s="41"/>
      <c r="B58" s="41"/>
      <c r="C58" s="41"/>
      <c r="D58" s="41"/>
      <c r="E58" s="40"/>
      <c r="F58" s="40"/>
      <c r="G58" s="40"/>
      <c r="H58" s="31"/>
      <c r="I58" s="40"/>
      <c r="J58" s="40"/>
      <c r="K58" s="35"/>
    </row>
    <row r="59" spans="1:13" ht="15.75">
      <c r="A59" s="110" t="s">
        <v>121</v>
      </c>
      <c r="B59" s="110"/>
      <c r="C59" s="110"/>
      <c r="D59" s="110"/>
      <c r="E59" s="42"/>
      <c r="F59" s="42"/>
      <c r="G59" s="20"/>
      <c r="H59" s="27"/>
      <c r="I59" s="20"/>
      <c r="J59" s="20"/>
      <c r="K59" s="21">
        <f>H61+H62+H63+H64</f>
        <v>4161.8798799999995</v>
      </c>
      <c r="M59" s="72"/>
    </row>
    <row r="60" spans="1:11" ht="12.75">
      <c r="A60" s="111" t="s">
        <v>122</v>
      </c>
      <c r="B60" s="111"/>
      <c r="C60" s="111"/>
      <c r="D60" s="111"/>
      <c r="E60" s="111"/>
      <c r="F60" s="111"/>
      <c r="G60" s="36"/>
      <c r="H60" s="37"/>
      <c r="I60" s="36"/>
      <c r="J60" s="36"/>
      <c r="K60" s="35"/>
    </row>
    <row r="61" spans="1:11" ht="12.75">
      <c r="A61" s="36" t="s">
        <v>123</v>
      </c>
      <c r="B61" s="36"/>
      <c r="C61" s="36"/>
      <c r="D61" s="36"/>
      <c r="E61" s="36"/>
      <c r="F61" s="36"/>
      <c r="G61" s="36"/>
      <c r="H61" s="37">
        <f>0.2227*O20</f>
        <v>1282.12844</v>
      </c>
      <c r="I61" s="36"/>
      <c r="J61" s="36"/>
      <c r="K61" s="35"/>
    </row>
    <row r="62" spans="1:11" ht="12.75">
      <c r="A62" s="30" t="s">
        <v>124</v>
      </c>
      <c r="B62" s="43"/>
      <c r="C62" s="30"/>
      <c r="D62" s="30"/>
      <c r="E62" s="44"/>
      <c r="F62" s="38"/>
      <c r="G62" s="38"/>
      <c r="H62" s="37">
        <f>0.0257*O20</f>
        <v>147.96004</v>
      </c>
      <c r="I62" s="38"/>
      <c r="J62" s="38"/>
      <c r="K62" s="35"/>
    </row>
    <row r="63" spans="1:11" ht="12.75">
      <c r="A63" s="111" t="s">
        <v>125</v>
      </c>
      <c r="B63" s="111"/>
      <c r="C63" s="111"/>
      <c r="D63" s="111"/>
      <c r="E63" s="111"/>
      <c r="F63" s="38"/>
      <c r="G63" s="38"/>
      <c r="H63" s="37">
        <f>0.0945*O20</f>
        <v>544.0554</v>
      </c>
      <c r="I63" s="38"/>
      <c r="J63" s="38"/>
      <c r="K63" s="35"/>
    </row>
    <row r="64" spans="1:11" ht="12.75">
      <c r="A64" s="36" t="s">
        <v>126</v>
      </c>
      <c r="B64" s="36"/>
      <c r="C64" s="36"/>
      <c r="D64" s="36"/>
      <c r="E64" s="36"/>
      <c r="F64" s="38"/>
      <c r="G64" s="38"/>
      <c r="H64" s="37">
        <f>0.38*O20</f>
        <v>2187.736</v>
      </c>
      <c r="I64" s="38"/>
      <c r="J64" s="38"/>
      <c r="K64" s="45"/>
    </row>
    <row r="65" spans="1:11" ht="12.75">
      <c r="A65" s="30"/>
      <c r="B65" s="30"/>
      <c r="C65" s="30"/>
      <c r="D65" s="30"/>
      <c r="E65" s="38"/>
      <c r="F65" s="38"/>
      <c r="G65" s="38"/>
      <c r="H65" s="37"/>
      <c r="I65" s="38"/>
      <c r="J65" s="38"/>
      <c r="K65" s="35"/>
    </row>
    <row r="66" spans="1:13" ht="15.75">
      <c r="A66" s="26" t="s">
        <v>127</v>
      </c>
      <c r="B66" s="26"/>
      <c r="C66" s="26"/>
      <c r="D66" s="26"/>
      <c r="E66" s="26"/>
      <c r="F66" s="26"/>
      <c r="G66" s="26"/>
      <c r="H66" s="46"/>
      <c r="I66" s="20"/>
      <c r="J66" s="20"/>
      <c r="K66" s="21">
        <f>O20*0.94</f>
        <v>5411.767999999999</v>
      </c>
      <c r="M66" s="71" t="e">
        <f>231179.9/309083*#REF!</f>
        <v>#REF!</v>
      </c>
    </row>
    <row r="67" spans="1:11" ht="15.75">
      <c r="A67" s="47"/>
      <c r="B67" s="47"/>
      <c r="C67" s="112" t="s">
        <v>64</v>
      </c>
      <c r="D67" s="112"/>
      <c r="E67" s="47"/>
      <c r="F67" s="47"/>
      <c r="G67" s="47"/>
      <c r="H67" s="48"/>
      <c r="I67" s="47"/>
      <c r="J67" s="47"/>
      <c r="K67" s="49"/>
    </row>
    <row r="68" spans="1:11" ht="12.75">
      <c r="A68" s="30" t="s">
        <v>128</v>
      </c>
      <c r="B68" s="30"/>
      <c r="C68" s="30"/>
      <c r="D68" s="30"/>
      <c r="E68" s="30"/>
      <c r="F68" s="30"/>
      <c r="G68" s="30"/>
      <c r="H68" s="37"/>
      <c r="I68" s="38"/>
      <c r="J68" s="38"/>
      <c r="K68" s="35"/>
    </row>
    <row r="69" spans="1:11" ht="12.75">
      <c r="A69" s="30" t="s">
        <v>129</v>
      </c>
      <c r="B69" s="43"/>
      <c r="C69" s="30"/>
      <c r="D69" s="30"/>
      <c r="E69" s="30"/>
      <c r="F69" s="44"/>
      <c r="G69" s="44"/>
      <c r="H69" s="37"/>
      <c r="I69" s="38"/>
      <c r="J69" s="38"/>
      <c r="K69" s="35"/>
    </row>
    <row r="70" spans="1:11" ht="12.75">
      <c r="A70" s="108" t="s">
        <v>130</v>
      </c>
      <c r="B70" s="108"/>
      <c r="C70" s="108"/>
      <c r="D70" s="108"/>
      <c r="E70" s="108"/>
      <c r="F70" s="108"/>
      <c r="G70" s="44"/>
      <c r="H70" s="37"/>
      <c r="I70" s="38"/>
      <c r="J70" s="38"/>
      <c r="K70" s="35"/>
    </row>
    <row r="71" spans="1:11" ht="12.75">
      <c r="A71" s="108" t="s">
        <v>131</v>
      </c>
      <c r="B71" s="108"/>
      <c r="C71" s="108"/>
      <c r="D71" s="108"/>
      <c r="E71" s="108"/>
      <c r="F71" s="108"/>
      <c r="G71" s="108"/>
      <c r="H71" s="37"/>
      <c r="I71" s="38"/>
      <c r="J71" s="38"/>
      <c r="K71" s="35"/>
    </row>
    <row r="72" spans="1:11" ht="12.75">
      <c r="A72" s="108" t="s">
        <v>132</v>
      </c>
      <c r="B72" s="108"/>
      <c r="C72" s="108"/>
      <c r="D72" s="108"/>
      <c r="E72" s="109"/>
      <c r="F72" s="109"/>
      <c r="G72" s="109"/>
      <c r="H72" s="37"/>
      <c r="I72" s="38"/>
      <c r="J72" s="38"/>
      <c r="K72" s="35"/>
    </row>
    <row r="73" spans="1:11" ht="12.75">
      <c r="A73" s="108" t="s">
        <v>133</v>
      </c>
      <c r="B73" s="108"/>
      <c r="C73" s="108"/>
      <c r="D73" s="108"/>
      <c r="E73" s="108"/>
      <c r="F73" s="44"/>
      <c r="G73" s="44"/>
      <c r="H73" s="37"/>
      <c r="I73" s="38"/>
      <c r="J73" s="38"/>
      <c r="K73" s="35"/>
    </row>
    <row r="74" spans="1:11" ht="12.75">
      <c r="A74" s="44" t="s">
        <v>134</v>
      </c>
      <c r="B74" s="44"/>
      <c r="C74" s="44"/>
      <c r="D74" s="44"/>
      <c r="E74" s="44"/>
      <c r="F74" s="44"/>
      <c r="G74" s="44"/>
      <c r="H74" s="37"/>
      <c r="I74" s="38"/>
      <c r="J74" s="38"/>
      <c r="K74" s="35"/>
    </row>
    <row r="75" spans="1:11" ht="12.75">
      <c r="A75" s="22"/>
      <c r="B75" s="22"/>
      <c r="C75" s="22"/>
      <c r="D75" s="22"/>
      <c r="E75" s="22"/>
      <c r="F75" s="22"/>
      <c r="G75" s="22"/>
      <c r="H75" s="28"/>
      <c r="I75" s="22"/>
      <c r="J75" s="22"/>
      <c r="K75" s="29"/>
    </row>
    <row r="76" spans="1:13" ht="15.75">
      <c r="A76" s="20" t="s">
        <v>135</v>
      </c>
      <c r="B76" s="20"/>
      <c r="C76" s="20"/>
      <c r="D76" s="20"/>
      <c r="E76" s="20"/>
      <c r="F76" s="51"/>
      <c r="G76" s="51"/>
      <c r="H76" s="52"/>
      <c r="I76" s="51"/>
      <c r="J76" s="51"/>
      <c r="K76" s="21">
        <f>0.0205*O20</f>
        <v>118.0226</v>
      </c>
      <c r="L76" s="72" t="e">
        <f>K76/309084*#REF!</f>
        <v>#REF!</v>
      </c>
      <c r="M76" s="72" t="e">
        <f>L76/309084*#REF!</f>
        <v>#REF!</v>
      </c>
    </row>
    <row r="77" spans="1:13" ht="15.75">
      <c r="A77" s="53"/>
      <c r="B77" s="54"/>
      <c r="C77" s="54"/>
      <c r="D77" s="54"/>
      <c r="E77" s="54"/>
      <c r="F77" s="53"/>
      <c r="G77" s="53"/>
      <c r="H77" s="55"/>
      <c r="I77" s="53"/>
      <c r="J77" s="53"/>
      <c r="K77" s="56"/>
      <c r="L77" s="72"/>
      <c r="M77" s="72"/>
    </row>
    <row r="78" spans="1:11" ht="15.75">
      <c r="A78" s="57" t="s">
        <v>136</v>
      </c>
      <c r="B78" s="57"/>
      <c r="C78" s="57"/>
      <c r="D78" s="58"/>
      <c r="E78" s="58"/>
      <c r="F78" s="58"/>
      <c r="G78" s="58"/>
      <c r="H78" s="59"/>
      <c r="I78" s="58"/>
      <c r="J78" s="58"/>
      <c r="K78" s="60">
        <f>K15*6%</f>
        <v>3091.319742492596</v>
      </c>
    </row>
    <row r="79" spans="1:11" ht="15">
      <c r="A79" s="58"/>
      <c r="B79" s="61"/>
      <c r="C79" s="61"/>
      <c r="D79" s="61"/>
      <c r="E79" s="61"/>
      <c r="F79" s="61"/>
      <c r="G79" s="61"/>
      <c r="H79" s="62"/>
      <c r="I79" s="58"/>
      <c r="J79" s="58"/>
      <c r="K79" s="58"/>
    </row>
    <row r="80" spans="1:11" ht="15.75">
      <c r="A80" s="63" t="s">
        <v>137</v>
      </c>
      <c r="B80" s="63"/>
      <c r="C80" s="63"/>
      <c r="D80" s="63"/>
      <c r="E80" s="63"/>
      <c r="F80" s="63"/>
      <c r="G80" s="63"/>
      <c r="H80" s="63"/>
      <c r="I80" s="63"/>
      <c r="J80" s="63"/>
      <c r="K80" s="64">
        <f>K78+K15</f>
        <v>54613.31545070253</v>
      </c>
    </row>
    <row r="81" spans="1:11" ht="15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4"/>
    </row>
    <row r="82" spans="1:11" ht="15.75">
      <c r="A82" s="63" t="s">
        <v>138</v>
      </c>
      <c r="B82" s="63"/>
      <c r="C82" s="63"/>
      <c r="D82" s="63"/>
      <c r="E82" s="63"/>
      <c r="F82" s="63"/>
      <c r="G82" s="63"/>
      <c r="H82" s="63"/>
      <c r="I82" s="63"/>
      <c r="J82" s="63"/>
      <c r="K82" s="64">
        <f>K80/O20</f>
        <v>9.48608967044788</v>
      </c>
    </row>
    <row r="83" spans="1:11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9" spans="3:9" s="65" customFormat="1" ht="15.75">
      <c r="C99" s="106" t="s">
        <v>139</v>
      </c>
      <c r="D99" s="107"/>
      <c r="E99" s="107"/>
      <c r="F99" s="107"/>
      <c r="G99" s="107"/>
      <c r="H99" s="107"/>
      <c r="I99" s="107"/>
    </row>
    <row r="100" spans="3:9" s="65" customFormat="1" ht="15.75">
      <c r="C100" s="74" t="s">
        <v>140</v>
      </c>
      <c r="D100" s="74" t="s">
        <v>141</v>
      </c>
      <c r="E100" s="74"/>
      <c r="F100" s="74"/>
      <c r="G100" s="75"/>
      <c r="H100" s="75"/>
      <c r="I100" s="75"/>
    </row>
    <row r="101" s="65" customFormat="1" ht="12.75"/>
    <row r="102" spans="5:8" s="65" customFormat="1" ht="12.75">
      <c r="E102" s="65" t="s">
        <v>142</v>
      </c>
      <c r="H102" s="65" t="e">
        <f>#REF!</f>
        <v>#REF!</v>
      </c>
    </row>
    <row r="103" spans="5:8" s="65" customFormat="1" ht="12.75">
      <c r="E103" s="65" t="s">
        <v>143</v>
      </c>
      <c r="H103" s="65" t="e">
        <f>#REF!</f>
        <v>#REF!</v>
      </c>
    </row>
    <row r="104" spans="5:8" s="65" customFormat="1" ht="12.75">
      <c r="E104" s="65" t="s">
        <v>144</v>
      </c>
      <c r="H104" s="65" t="e">
        <f>#REF!</f>
        <v>#REF!</v>
      </c>
    </row>
    <row r="105" spans="5:8" s="65" customFormat="1" ht="12.75">
      <c r="E105" s="65" t="s">
        <v>145</v>
      </c>
      <c r="H105" s="65">
        <f>O21</f>
        <v>349</v>
      </c>
    </row>
    <row r="106" spans="5:8" s="65" customFormat="1" ht="12.75">
      <c r="E106" s="65" t="s">
        <v>146</v>
      </c>
      <c r="H106" s="65" t="e">
        <f>#REF!</f>
        <v>#REF!</v>
      </c>
    </row>
    <row r="107" s="65" customFormat="1" ht="12.75"/>
    <row r="108" spans="1:11" s="65" customFormat="1" ht="15.75">
      <c r="A108" s="105" t="s">
        <v>72</v>
      </c>
      <c r="B108" s="105"/>
      <c r="C108" s="105"/>
      <c r="D108" s="105"/>
      <c r="E108" s="105"/>
      <c r="F108" s="105"/>
      <c r="G108" s="105"/>
      <c r="H108" s="76" t="e">
        <f>H110+H112+H114+H116+H118+H120+H122</f>
        <v>#REF!</v>
      </c>
      <c r="I108" s="77" t="s">
        <v>70</v>
      </c>
      <c r="K108" s="78" t="e">
        <f>H108-20000</f>
        <v>#REF!</v>
      </c>
    </row>
    <row r="109" spans="1:7" s="65" customFormat="1" ht="12.75">
      <c r="A109" s="79"/>
      <c r="B109" s="79"/>
      <c r="C109" s="79"/>
      <c r="D109" s="79"/>
      <c r="E109" s="79"/>
      <c r="F109" s="79"/>
      <c r="G109" s="79"/>
    </row>
    <row r="110" spans="1:8" s="65" customFormat="1" ht="15.75">
      <c r="A110" s="80" t="s">
        <v>147</v>
      </c>
      <c r="B110" s="80"/>
      <c r="C110" s="80"/>
      <c r="D110" s="80"/>
      <c r="E110" s="80"/>
      <c r="F110" s="80"/>
      <c r="G110" s="80"/>
      <c r="H110" s="78">
        <f>K17</f>
        <v>8548.426633475972</v>
      </c>
    </row>
    <row r="111" spans="1:8" s="65" customFormat="1" ht="12.75">
      <c r="A111" s="79"/>
      <c r="B111" s="79"/>
      <c r="C111" s="79"/>
      <c r="D111" s="79"/>
      <c r="E111" s="79"/>
      <c r="F111" s="79"/>
      <c r="G111" s="79"/>
      <c r="H111" s="78"/>
    </row>
    <row r="112" spans="1:8" s="65" customFormat="1" ht="15.75">
      <c r="A112" s="105" t="s">
        <v>95</v>
      </c>
      <c r="B112" s="105"/>
      <c r="C112" s="105"/>
      <c r="D112" s="105"/>
      <c r="E112" s="105"/>
      <c r="F112" s="80"/>
      <c r="G112" s="80"/>
      <c r="H112" s="78">
        <f>K30</f>
        <v>10796.309974444448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78"/>
    </row>
    <row r="114" spans="1:8" s="65" customFormat="1" ht="15.75">
      <c r="A114" s="105" t="s">
        <v>148</v>
      </c>
      <c r="B114" s="105"/>
      <c r="C114" s="105"/>
      <c r="D114" s="105"/>
      <c r="E114" s="105"/>
      <c r="F114" s="105"/>
      <c r="G114" s="105"/>
      <c r="H114" s="81" t="e">
        <f>#REF!</f>
        <v>#REF!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82"/>
    </row>
    <row r="116" spans="1:8" s="65" customFormat="1" ht="15.75">
      <c r="A116" s="80" t="s">
        <v>111</v>
      </c>
      <c r="B116" s="80"/>
      <c r="C116" s="80"/>
      <c r="D116" s="80"/>
      <c r="E116" s="80"/>
      <c r="F116" s="80"/>
      <c r="G116" s="80"/>
      <c r="H116" s="82" t="e">
        <f>M46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105" t="s">
        <v>149</v>
      </c>
      <c r="B118" s="105"/>
      <c r="C118" s="105"/>
      <c r="D118" s="105"/>
      <c r="E118" s="80"/>
      <c r="F118" s="80"/>
      <c r="G118" s="80"/>
      <c r="H118" s="81"/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83" t="s">
        <v>127</v>
      </c>
      <c r="B120" s="83"/>
      <c r="C120" s="83"/>
      <c r="D120" s="83"/>
      <c r="E120" s="83"/>
      <c r="F120" s="83"/>
      <c r="G120" s="83"/>
      <c r="H120" s="81" t="e">
        <f>M66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150</v>
      </c>
      <c r="B122" s="80"/>
      <c r="C122" s="80"/>
      <c r="D122" s="80"/>
      <c r="E122" s="80"/>
      <c r="F122" s="84"/>
      <c r="G122" s="84"/>
      <c r="H122" s="81" t="e">
        <f>L76</f>
        <v>#REF!</v>
      </c>
    </row>
    <row r="123" s="65" customFormat="1" ht="12.75"/>
    <row r="124" s="65" customFormat="1" ht="12.75"/>
    <row r="125" s="65" customFormat="1" ht="12.75">
      <c r="H125" s="65" t="s">
        <v>151</v>
      </c>
    </row>
    <row r="126" s="65" customFormat="1" ht="12.75">
      <c r="H126" s="65" t="s">
        <v>146</v>
      </c>
    </row>
    <row r="127" s="65" customFormat="1" ht="12.75">
      <c r="H127" s="65" t="s">
        <v>152</v>
      </c>
    </row>
    <row r="128" s="65" customFormat="1" ht="12.75"/>
    <row r="129" s="65" customFormat="1" ht="12.75"/>
    <row r="130" s="65" customFormat="1" ht="12.75">
      <c r="F130" s="65" t="s">
        <v>153</v>
      </c>
    </row>
    <row r="131" s="65" customFormat="1" ht="12.75">
      <c r="D131" s="65" t="s">
        <v>154</v>
      </c>
    </row>
    <row r="132" s="65" customFormat="1" ht="12.75">
      <c r="D132" s="65" t="s">
        <v>155</v>
      </c>
    </row>
    <row r="133" spans="6:13" s="65" customFormat="1" ht="12.75">
      <c r="F133" s="65" t="s">
        <v>156</v>
      </c>
      <c r="M133" s="65" t="s">
        <v>157</v>
      </c>
    </row>
    <row r="134" s="65" customFormat="1" ht="12.75">
      <c r="M134" s="65" t="s">
        <v>158</v>
      </c>
    </row>
    <row r="135" spans="1:13" s="65" customFormat="1" ht="12.75">
      <c r="A135" s="65" t="s">
        <v>159</v>
      </c>
      <c r="B135" s="65" t="s">
        <v>160</v>
      </c>
      <c r="D135" s="65" t="s">
        <v>161</v>
      </c>
      <c r="F135" s="65" t="s">
        <v>162</v>
      </c>
      <c r="G135" s="65" t="s">
        <v>163</v>
      </c>
      <c r="H135" s="65" t="s">
        <v>164</v>
      </c>
      <c r="J135" s="65" t="s">
        <v>165</v>
      </c>
      <c r="M135" s="73" t="s">
        <v>166</v>
      </c>
    </row>
    <row r="136" spans="1:14" s="65" customFormat="1" ht="12.75">
      <c r="A136" s="65" t="s">
        <v>167</v>
      </c>
      <c r="B136" s="65" t="s">
        <v>168</v>
      </c>
      <c r="D136" s="65" t="s">
        <v>169</v>
      </c>
      <c r="F136" s="65" t="s">
        <v>170</v>
      </c>
      <c r="G136" s="65" t="s">
        <v>171</v>
      </c>
      <c r="H136" s="65" t="s">
        <v>172</v>
      </c>
      <c r="J136" s="65" t="s">
        <v>173</v>
      </c>
      <c r="M136" s="65" t="s">
        <v>174</v>
      </c>
      <c r="N136" s="65">
        <v>6111.1</v>
      </c>
    </row>
    <row r="137" spans="8:9" s="65" customFormat="1" ht="12.75">
      <c r="H137" s="65" t="s">
        <v>175</v>
      </c>
      <c r="I137" s="65" t="s">
        <v>176</v>
      </c>
    </row>
    <row r="138" spans="8:13" s="65" customFormat="1" ht="12.75">
      <c r="H138" s="65" t="s">
        <v>170</v>
      </c>
      <c r="I138" s="65" t="s">
        <v>177</v>
      </c>
      <c r="M138" s="65" t="s">
        <v>178</v>
      </c>
    </row>
    <row r="139" spans="9:13" s="65" customFormat="1" ht="12.75">
      <c r="I139" s="65" t="s">
        <v>179</v>
      </c>
      <c r="M139" s="65" t="s">
        <v>158</v>
      </c>
    </row>
    <row r="140" s="65" customFormat="1" ht="12.75">
      <c r="M140" s="73" t="s">
        <v>166</v>
      </c>
    </row>
    <row r="141" spans="1:14" s="65" customFormat="1" ht="12.75">
      <c r="A141" s="65" t="s">
        <v>180</v>
      </c>
      <c r="B141" s="65" t="s">
        <v>181</v>
      </c>
      <c r="D141" s="65" t="s">
        <v>182</v>
      </c>
      <c r="M141" s="65" t="s">
        <v>174</v>
      </c>
      <c r="N141" s="65">
        <v>1452.9</v>
      </c>
    </row>
    <row r="142" spans="2:4" s="65" customFormat="1" ht="12.75">
      <c r="B142" s="65" t="s">
        <v>183</v>
      </c>
      <c r="D142" s="65" t="s">
        <v>184</v>
      </c>
    </row>
    <row r="143" spans="2:13" s="65" customFormat="1" ht="12.75">
      <c r="B143" s="65" t="s">
        <v>185</v>
      </c>
      <c r="D143" s="65" t="s">
        <v>186</v>
      </c>
      <c r="M143" s="65" t="s">
        <v>187</v>
      </c>
    </row>
    <row r="144" spans="2:13" s="65" customFormat="1" ht="12.75">
      <c r="B144" s="65" t="s">
        <v>188</v>
      </c>
      <c r="D144" s="65" t="s">
        <v>189</v>
      </c>
      <c r="M144" s="65" t="s">
        <v>158</v>
      </c>
    </row>
    <row r="145" spans="2:13" s="65" customFormat="1" ht="12.75">
      <c r="B145" s="65" t="s">
        <v>190</v>
      </c>
      <c r="M145" s="73" t="s">
        <v>166</v>
      </c>
    </row>
    <row r="146" spans="4:14" s="65" customFormat="1" ht="12.75">
      <c r="D146" s="65" t="s">
        <v>191</v>
      </c>
      <c r="M146" s="65" t="s">
        <v>174</v>
      </c>
      <c r="N146" s="65">
        <v>1162.3</v>
      </c>
    </row>
    <row r="147" spans="4:6" s="65" customFormat="1" ht="12.75">
      <c r="D147" s="65" t="s">
        <v>192</v>
      </c>
      <c r="F147" s="65" t="s">
        <v>193</v>
      </c>
    </row>
    <row r="148" spans="4:13" s="65" customFormat="1" ht="12.75">
      <c r="D148" s="65" t="s">
        <v>158</v>
      </c>
      <c r="F148" s="65" t="s">
        <v>194</v>
      </c>
      <c r="H148" s="65">
        <v>0.0687</v>
      </c>
      <c r="I148" s="65">
        <v>0</v>
      </c>
      <c r="K148" s="65">
        <f>N139/1000*H148</f>
        <v>0</v>
      </c>
      <c r="M148" s="65" t="s">
        <v>195</v>
      </c>
    </row>
    <row r="149" spans="4:13" s="65" customFormat="1" ht="12.75">
      <c r="D149" s="65" t="s">
        <v>196</v>
      </c>
      <c r="F149" s="65" t="s">
        <v>197</v>
      </c>
      <c r="H149" s="65">
        <v>0.0763</v>
      </c>
      <c r="I149" s="65">
        <v>0</v>
      </c>
      <c r="K149" s="65">
        <f>N140/1000*H149</f>
        <v>0</v>
      </c>
      <c r="M149" s="65" t="s">
        <v>158</v>
      </c>
    </row>
    <row r="150" spans="4:13" s="65" customFormat="1" ht="12.75">
      <c r="D150" s="65" t="s">
        <v>198</v>
      </c>
      <c r="F150" s="65" t="s">
        <v>199</v>
      </c>
      <c r="H150" s="65">
        <v>0.0839</v>
      </c>
      <c r="I150" s="65">
        <v>0</v>
      </c>
      <c r="K150" s="69">
        <f>N141/1000*H150</f>
        <v>0.12189831000000001</v>
      </c>
      <c r="M150" s="73" t="s">
        <v>166</v>
      </c>
    </row>
    <row r="151" spans="6:13" s="65" customFormat="1" ht="12.75">
      <c r="F151" s="65" t="s">
        <v>200</v>
      </c>
      <c r="M151" s="65" t="s">
        <v>174</v>
      </c>
    </row>
    <row r="152" s="65" customFormat="1" ht="12.75">
      <c r="F152" s="65" t="s">
        <v>190</v>
      </c>
    </row>
    <row r="153" spans="5:9" s="65" customFormat="1" ht="12.75">
      <c r="E153" s="65" t="s">
        <v>201</v>
      </c>
      <c r="I153" s="65">
        <v>0</v>
      </c>
    </row>
    <row r="154" spans="2:4" s="65" customFormat="1" ht="12.75">
      <c r="B154" s="65" t="s">
        <v>202</v>
      </c>
      <c r="D154" s="65" t="s">
        <v>203</v>
      </c>
    </row>
    <row r="155" s="65" customFormat="1" ht="12.75">
      <c r="D155" s="65" t="s">
        <v>204</v>
      </c>
    </row>
    <row r="156" s="65" customFormat="1" ht="12.75">
      <c r="D156" s="65" t="s">
        <v>205</v>
      </c>
    </row>
    <row r="157" s="65" customFormat="1" ht="12.75">
      <c r="D157" s="65" t="s">
        <v>191</v>
      </c>
    </row>
    <row r="158" spans="4:11" s="65" customFormat="1" ht="12.75">
      <c r="D158" s="65" t="s">
        <v>158</v>
      </c>
      <c r="H158" s="65">
        <v>0.00338</v>
      </c>
      <c r="K158" s="69">
        <f>N162/1000*H158</f>
        <v>0</v>
      </c>
    </row>
    <row r="159" spans="4:11" s="65" customFormat="1" ht="12.75">
      <c r="D159" s="65" t="s">
        <v>196</v>
      </c>
      <c r="H159" s="65">
        <v>0.00376</v>
      </c>
      <c r="K159" s="69">
        <f>N163/1000*H159</f>
        <v>0</v>
      </c>
    </row>
    <row r="160" spans="4:11" s="65" customFormat="1" ht="12.75">
      <c r="D160" s="65" t="s">
        <v>198</v>
      </c>
      <c r="H160" s="65">
        <v>0.00414</v>
      </c>
      <c r="K160" s="69">
        <f>N164/1000*H160</f>
        <v>0.025299954</v>
      </c>
    </row>
    <row r="161" s="65" customFormat="1" ht="12.75">
      <c r="M161" s="65" t="s">
        <v>206</v>
      </c>
    </row>
    <row r="162" spans="1:13" s="65" customFormat="1" ht="12.75">
      <c r="A162" s="65" t="s">
        <v>207</v>
      </c>
      <c r="B162" s="65" t="s">
        <v>208</v>
      </c>
      <c r="D162" s="65" t="s">
        <v>203</v>
      </c>
      <c r="M162" s="65" t="s">
        <v>158</v>
      </c>
    </row>
    <row r="163" spans="4:13" s="65" customFormat="1" ht="12.75">
      <c r="D163" s="65" t="s">
        <v>209</v>
      </c>
      <c r="M163" s="73" t="s">
        <v>166</v>
      </c>
    </row>
    <row r="164" spans="4:14" s="65" customFormat="1" ht="12.75">
      <c r="D164" s="65" t="s">
        <v>191</v>
      </c>
      <c r="M164" s="65" t="s">
        <v>174</v>
      </c>
      <c r="N164" s="65">
        <f>N136</f>
        <v>6111.1</v>
      </c>
    </row>
    <row r="165" spans="4:11" s="65" customFormat="1" ht="12.75">
      <c r="D165" s="65" t="s">
        <v>158</v>
      </c>
      <c r="H165" s="65">
        <v>0.02043</v>
      </c>
      <c r="I165" s="65">
        <v>0</v>
      </c>
      <c r="K165" s="65">
        <f>N149/1000*H165</f>
        <v>0</v>
      </c>
    </row>
    <row r="166" spans="4:13" s="65" customFormat="1" ht="12.75">
      <c r="D166" s="65" t="s">
        <v>196</v>
      </c>
      <c r="H166" s="65">
        <v>0.0227</v>
      </c>
      <c r="I166" s="65">
        <v>0</v>
      </c>
      <c r="K166" s="65">
        <f>N150/1000*H166</f>
        <v>0</v>
      </c>
      <c r="M166" s="65" t="s">
        <v>210</v>
      </c>
    </row>
    <row r="167" spans="4:13" s="65" customFormat="1" ht="12.75">
      <c r="D167" s="65" t="s">
        <v>198</v>
      </c>
      <c r="H167" s="65">
        <v>0.02497</v>
      </c>
      <c r="I167" s="65">
        <v>0</v>
      </c>
      <c r="K167" s="65">
        <f>N151/1000*H167</f>
        <v>0</v>
      </c>
      <c r="M167" s="65" t="s">
        <v>158</v>
      </c>
    </row>
    <row r="168" spans="4:13" s="65" customFormat="1" ht="12.75">
      <c r="D168" s="65" t="s">
        <v>211</v>
      </c>
      <c r="M168" s="73" t="s">
        <v>166</v>
      </c>
    </row>
    <row r="169" spans="4:14" s="65" customFormat="1" ht="12.75">
      <c r="D169" s="65" t="s">
        <v>191</v>
      </c>
      <c r="M169" s="65" t="s">
        <v>174</v>
      </c>
      <c r="N169" s="65">
        <v>119</v>
      </c>
    </row>
    <row r="170" spans="4:6" s="65" customFormat="1" ht="12.75">
      <c r="D170" s="65" t="s">
        <v>192</v>
      </c>
      <c r="F170" s="65" t="s">
        <v>193</v>
      </c>
    </row>
    <row r="171" spans="4:11" s="65" customFormat="1" ht="12.75">
      <c r="D171" s="65" t="s">
        <v>158</v>
      </c>
      <c r="H171" s="65">
        <v>0.00999</v>
      </c>
      <c r="K171" s="69">
        <f>N134/1000*H171</f>
        <v>0</v>
      </c>
    </row>
    <row r="172" spans="4:11" s="65" customFormat="1" ht="12.75">
      <c r="D172" s="65" t="s">
        <v>196</v>
      </c>
      <c r="H172" s="65">
        <v>0.0111</v>
      </c>
      <c r="K172" s="69">
        <f>N135/1000*H172</f>
        <v>0</v>
      </c>
    </row>
    <row r="173" spans="4:11" s="65" customFormat="1" ht="12.75">
      <c r="D173" s="65" t="s">
        <v>198</v>
      </c>
      <c r="H173" s="65">
        <v>0.01221</v>
      </c>
      <c r="I173" s="65">
        <v>0</v>
      </c>
      <c r="K173" s="69">
        <f>N136/1000*H173</f>
        <v>0.07461653100000001</v>
      </c>
    </row>
    <row r="174" s="65" customFormat="1" ht="12.75">
      <c r="I174" s="65">
        <v>0</v>
      </c>
    </row>
    <row r="175" spans="5:9" s="65" customFormat="1" ht="12.75">
      <c r="E175" s="65" t="s">
        <v>201</v>
      </c>
      <c r="G175" s="65">
        <v>0</v>
      </c>
      <c r="I175" s="65">
        <v>0</v>
      </c>
    </row>
    <row r="176" spans="1:6" s="65" customFormat="1" ht="12.75">
      <c r="A176" s="65" t="s">
        <v>212</v>
      </c>
      <c r="B176" s="65" t="s">
        <v>213</v>
      </c>
      <c r="D176" s="65" t="s">
        <v>203</v>
      </c>
      <c r="F176" s="65" t="s">
        <v>193</v>
      </c>
    </row>
    <row r="177" spans="2:6" s="65" customFormat="1" ht="12.75">
      <c r="B177" s="65" t="s">
        <v>214</v>
      </c>
      <c r="D177" s="65" t="s">
        <v>209</v>
      </c>
      <c r="F177" s="65" t="s">
        <v>215</v>
      </c>
    </row>
    <row r="178" spans="4:6" s="65" customFormat="1" ht="12.75">
      <c r="D178" s="65" t="s">
        <v>191</v>
      </c>
      <c r="F178" s="65" t="s">
        <v>216</v>
      </c>
    </row>
    <row r="179" spans="4:11" s="65" customFormat="1" ht="12.75">
      <c r="D179" s="65" t="s">
        <v>158</v>
      </c>
      <c r="H179" s="65">
        <v>0.018432</v>
      </c>
      <c r="I179" s="65">
        <v>0</v>
      </c>
      <c r="K179" s="65">
        <f>N149/1000*H179</f>
        <v>0</v>
      </c>
    </row>
    <row r="180" spans="4:11" s="65" customFormat="1" ht="12.75">
      <c r="D180" s="65" t="s">
        <v>196</v>
      </c>
      <c r="H180" s="65">
        <v>0.02048</v>
      </c>
      <c r="I180" s="65">
        <v>0</v>
      </c>
      <c r="K180" s="65">
        <f>N150/1000*H180</f>
        <v>0</v>
      </c>
    </row>
    <row r="181" spans="4:11" s="65" customFormat="1" ht="12.75">
      <c r="D181" s="65" t="s">
        <v>198</v>
      </c>
      <c r="K181" s="65">
        <f>N151/1000*H181</f>
        <v>0</v>
      </c>
    </row>
    <row r="182" s="65" customFormat="1" ht="12.75">
      <c r="D182" s="65" t="s">
        <v>211</v>
      </c>
    </row>
    <row r="183" s="65" customFormat="1" ht="12.75">
      <c r="D183" s="65" t="s">
        <v>191</v>
      </c>
    </row>
    <row r="184" s="65" customFormat="1" ht="12.75">
      <c r="D184" s="65" t="s">
        <v>192</v>
      </c>
    </row>
    <row r="185" spans="4:11" s="65" customFormat="1" ht="12.75">
      <c r="D185" s="65" t="s">
        <v>158</v>
      </c>
      <c r="K185" s="69">
        <f>N134/1000*H185</f>
        <v>0</v>
      </c>
    </row>
    <row r="186" spans="4:11" s="65" customFormat="1" ht="12.75">
      <c r="D186" s="65" t="s">
        <v>196</v>
      </c>
      <c r="H186" s="65">
        <v>0.02295</v>
      </c>
      <c r="I186" s="65">
        <v>0</v>
      </c>
      <c r="K186" s="69">
        <f>N135/1000*H186</f>
        <v>0</v>
      </c>
    </row>
    <row r="187" spans="4:11" s="65" customFormat="1" ht="12.75">
      <c r="D187" s="65" t="s">
        <v>198</v>
      </c>
      <c r="H187" s="65">
        <v>0.025245</v>
      </c>
      <c r="I187" s="65">
        <v>0</v>
      </c>
      <c r="K187" s="69">
        <f>N136/1000*H187</f>
        <v>0.15427471950000002</v>
      </c>
    </row>
    <row r="188" spans="5:11" s="65" customFormat="1" ht="12.75">
      <c r="E188" s="65" t="s">
        <v>201</v>
      </c>
      <c r="G188" s="65">
        <v>0</v>
      </c>
      <c r="I188" s="65">
        <v>0</v>
      </c>
      <c r="K188" s="69"/>
    </row>
    <row r="189" s="65" customFormat="1" ht="12.75">
      <c r="K189" s="69"/>
    </row>
    <row r="190" spans="1:11" s="65" customFormat="1" ht="12.75">
      <c r="A190" s="65" t="s">
        <v>217</v>
      </c>
      <c r="B190" s="65" t="s">
        <v>218</v>
      </c>
      <c r="D190" s="65" t="s">
        <v>203</v>
      </c>
      <c r="K190" s="69"/>
    </row>
    <row r="191" spans="4:11" s="65" customFormat="1" ht="12.75">
      <c r="D191" s="65" t="s">
        <v>209</v>
      </c>
      <c r="K191" s="69"/>
    </row>
    <row r="192" spans="4:11" s="65" customFormat="1" ht="12.75">
      <c r="D192" s="65" t="s">
        <v>191</v>
      </c>
      <c r="K192" s="69"/>
    </row>
    <row r="193" spans="4:11" s="65" customFormat="1" ht="12.75">
      <c r="D193" s="65" t="s">
        <v>158</v>
      </c>
      <c r="H193" s="65">
        <v>0.027585</v>
      </c>
      <c r="I193" s="65">
        <v>0</v>
      </c>
      <c r="K193" s="69">
        <f>N149/1000*H193</f>
        <v>0</v>
      </c>
    </row>
    <row r="194" spans="4:11" s="65" customFormat="1" ht="12.75">
      <c r="D194" s="65" t="s">
        <v>196</v>
      </c>
      <c r="H194" s="65">
        <v>0.3065</v>
      </c>
      <c r="I194" s="65">
        <v>0</v>
      </c>
      <c r="K194" s="69">
        <f>N150/1000*H194</f>
        <v>0</v>
      </c>
    </row>
    <row r="195" spans="4:11" s="65" customFormat="1" ht="12.75">
      <c r="D195" s="65" t="s">
        <v>198</v>
      </c>
      <c r="K195" s="69">
        <f>N151/1000*H195</f>
        <v>0</v>
      </c>
    </row>
    <row r="196" spans="4:11" s="65" customFormat="1" ht="12.75">
      <c r="D196" s="65" t="s">
        <v>211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192</v>
      </c>
      <c r="K198" s="69"/>
    </row>
    <row r="199" spans="4:11" s="65" customFormat="1" ht="12.75">
      <c r="D199" s="65" t="s">
        <v>158</v>
      </c>
      <c r="K199" s="69">
        <f>N134/1000*H199</f>
        <v>0</v>
      </c>
    </row>
    <row r="200" spans="4:11" s="65" customFormat="1" ht="12.75">
      <c r="D200" s="65" t="s">
        <v>196</v>
      </c>
      <c r="H200" s="65">
        <v>0.00539</v>
      </c>
      <c r="I200" s="65">
        <v>0</v>
      </c>
      <c r="K200" s="69">
        <f>N135/1000*H200</f>
        <v>0</v>
      </c>
    </row>
    <row r="201" spans="4:11" s="65" customFormat="1" ht="12.75">
      <c r="D201" s="65" t="s">
        <v>198</v>
      </c>
      <c r="H201" s="65">
        <v>0.005929</v>
      </c>
      <c r="I201" s="65">
        <v>0</v>
      </c>
      <c r="K201" s="69">
        <f>N136/1000*H201</f>
        <v>0.036232711900000006</v>
      </c>
    </row>
    <row r="202" spans="5:11" s="65" customFormat="1" ht="12.75">
      <c r="E202" s="65" t="s">
        <v>201</v>
      </c>
      <c r="G202" s="65">
        <v>0</v>
      </c>
      <c r="I202" s="65">
        <v>0</v>
      </c>
      <c r="K202" s="69"/>
    </row>
    <row r="203" s="65" customFormat="1" ht="12.75">
      <c r="K203" s="69"/>
    </row>
    <row r="204" spans="1:11" s="65" customFormat="1" ht="12.75">
      <c r="A204" s="65" t="s">
        <v>219</v>
      </c>
      <c r="B204" s="65" t="s">
        <v>220</v>
      </c>
      <c r="D204" s="65" t="s">
        <v>203</v>
      </c>
      <c r="K204" s="69"/>
    </row>
    <row r="205" spans="2:11" s="65" customFormat="1" ht="12.75">
      <c r="B205" s="65" t="s">
        <v>214</v>
      </c>
      <c r="D205" s="65" t="s">
        <v>209</v>
      </c>
      <c r="K205" s="69"/>
    </row>
    <row r="206" spans="4:11" s="65" customFormat="1" ht="12.75">
      <c r="D206" s="65" t="s">
        <v>191</v>
      </c>
      <c r="K206" s="69"/>
    </row>
    <row r="207" spans="4:11" s="65" customFormat="1" ht="12.75">
      <c r="D207" s="65" t="s">
        <v>158</v>
      </c>
      <c r="H207" s="65">
        <v>0.022437</v>
      </c>
      <c r="I207" s="65">
        <v>0</v>
      </c>
      <c r="K207" s="69">
        <f>N149/1000*H207</f>
        <v>0</v>
      </c>
    </row>
    <row r="208" spans="4:11" s="65" customFormat="1" ht="12.75">
      <c r="D208" s="65" t="s">
        <v>196</v>
      </c>
      <c r="H208" s="65">
        <v>0.02493</v>
      </c>
      <c r="I208" s="65">
        <v>0</v>
      </c>
      <c r="K208" s="69">
        <f>N150/1000*H208</f>
        <v>0</v>
      </c>
    </row>
    <row r="209" spans="4:11" s="65" customFormat="1" ht="12.75">
      <c r="D209" s="65" t="s">
        <v>198</v>
      </c>
      <c r="K209" s="65">
        <f>N151/1000*H209</f>
        <v>0</v>
      </c>
    </row>
    <row r="210" s="65" customFormat="1" ht="12.75">
      <c r="D210" s="65" t="s">
        <v>211</v>
      </c>
    </row>
    <row r="211" s="65" customFormat="1" ht="12.75">
      <c r="D211" s="65" t="s">
        <v>191</v>
      </c>
    </row>
    <row r="212" s="65" customFormat="1" ht="12.75">
      <c r="D212" s="65" t="s">
        <v>192</v>
      </c>
    </row>
    <row r="213" spans="4:11" s="65" customFormat="1" ht="12.75">
      <c r="D213" s="65" t="s">
        <v>158</v>
      </c>
      <c r="K213" s="69">
        <f>N134/1000*H213</f>
        <v>0</v>
      </c>
    </row>
    <row r="214" spans="4:11" s="65" customFormat="1" ht="12.75">
      <c r="D214" s="65" t="s">
        <v>196</v>
      </c>
      <c r="H214" s="65">
        <v>0.00888</v>
      </c>
      <c r="I214" s="65">
        <v>0</v>
      </c>
      <c r="K214" s="69">
        <f>N135/1000*H214</f>
        <v>0</v>
      </c>
    </row>
    <row r="215" spans="4:11" s="65" customFormat="1" ht="12.75">
      <c r="D215" s="65" t="s">
        <v>198</v>
      </c>
      <c r="H215" s="65">
        <v>0.009768</v>
      </c>
      <c r="I215" s="65">
        <v>0</v>
      </c>
      <c r="K215" s="69">
        <f>N136/1000*H215</f>
        <v>0.05969322480000001</v>
      </c>
    </row>
    <row r="216" spans="5:11" s="65" customFormat="1" ht="12.75">
      <c r="E216" s="65" t="s">
        <v>201</v>
      </c>
      <c r="G216" s="65">
        <v>0</v>
      </c>
      <c r="I216" s="65">
        <v>0</v>
      </c>
      <c r="K216" s="69"/>
    </row>
    <row r="217" s="65" customFormat="1" ht="12.75">
      <c r="K217" s="69"/>
    </row>
    <row r="218" spans="2:4" s="65" customFormat="1" ht="12.75">
      <c r="B218" s="65" t="s">
        <v>221</v>
      </c>
      <c r="D218" s="65" t="s">
        <v>203</v>
      </c>
    </row>
    <row r="219" s="65" customFormat="1" ht="12.75">
      <c r="D219" s="65" t="s">
        <v>204</v>
      </c>
    </row>
    <row r="220" s="65" customFormat="1" ht="12.75">
      <c r="D220" s="65" t="s">
        <v>205</v>
      </c>
    </row>
    <row r="221" s="65" customFormat="1" ht="12.75">
      <c r="D221" s="65" t="s">
        <v>191</v>
      </c>
    </row>
    <row r="222" spans="4:11" s="65" customFormat="1" ht="12.75">
      <c r="D222" s="65" t="s">
        <v>158</v>
      </c>
      <c r="H222" s="65">
        <v>0.0243</v>
      </c>
      <c r="K222" s="69">
        <f>N162/1000*H222</f>
        <v>0</v>
      </c>
    </row>
    <row r="223" spans="4:11" s="65" customFormat="1" ht="12.75">
      <c r="D223" s="65" t="s">
        <v>196</v>
      </c>
      <c r="H223" s="65">
        <v>0.027</v>
      </c>
      <c r="K223" s="69">
        <f>N163/1000*H223</f>
        <v>0</v>
      </c>
    </row>
    <row r="224" spans="4:11" s="65" customFormat="1" ht="12.75">
      <c r="D224" s="65" t="s">
        <v>198</v>
      </c>
      <c r="H224" s="65">
        <v>0.0297</v>
      </c>
      <c r="K224" s="69">
        <f>N164/1000*H224</f>
        <v>0.18149967000000003</v>
      </c>
    </row>
    <row r="225" spans="1:11" s="65" customFormat="1" ht="12.75">
      <c r="A225" s="65" t="s">
        <v>222</v>
      </c>
      <c r="B225" s="65" t="s">
        <v>223</v>
      </c>
      <c r="D225" s="65" t="s">
        <v>203</v>
      </c>
      <c r="K225" s="69"/>
    </row>
    <row r="226" spans="4:11" s="65" customFormat="1" ht="12.75">
      <c r="D226" s="65" t="s">
        <v>209</v>
      </c>
      <c r="K226" s="69"/>
    </row>
    <row r="227" spans="4:11" s="65" customFormat="1" ht="12.75">
      <c r="D227" s="65" t="s">
        <v>191</v>
      </c>
      <c r="K227" s="69"/>
    </row>
    <row r="228" spans="4:11" s="65" customFormat="1" ht="12.75">
      <c r="D228" s="65" t="s">
        <v>158</v>
      </c>
      <c r="H228" s="65">
        <v>0.01773</v>
      </c>
      <c r="I228" s="65">
        <v>0</v>
      </c>
      <c r="K228" s="69">
        <f>N149/1000*H228</f>
        <v>0</v>
      </c>
    </row>
    <row r="229" spans="4:11" s="65" customFormat="1" ht="12.75">
      <c r="D229" s="65" t="s">
        <v>196</v>
      </c>
      <c r="H229" s="65">
        <v>0.0197</v>
      </c>
      <c r="I229" s="65">
        <v>0</v>
      </c>
      <c r="K229" s="69">
        <f>N150/1000*H229</f>
        <v>0</v>
      </c>
    </row>
    <row r="230" spans="4:11" s="65" customFormat="1" ht="12.75">
      <c r="D230" s="65" t="s">
        <v>198</v>
      </c>
      <c r="K230" s="69">
        <f>N151/1000*H230</f>
        <v>0</v>
      </c>
    </row>
    <row r="231" spans="4:11" s="65" customFormat="1" ht="12.75">
      <c r="D231" s="65" t="s">
        <v>211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192</v>
      </c>
      <c r="K233" s="69"/>
    </row>
    <row r="234" spans="4:11" s="65" customFormat="1" ht="12.75">
      <c r="D234" s="65" t="s">
        <v>158</v>
      </c>
      <c r="K234" s="69">
        <f>N134/1000*H234</f>
        <v>0</v>
      </c>
    </row>
    <row r="235" spans="4:11" s="65" customFormat="1" ht="12.75">
      <c r="D235" s="65" t="s">
        <v>196</v>
      </c>
      <c r="H235" s="65">
        <v>0.0018</v>
      </c>
      <c r="I235" s="65">
        <v>0</v>
      </c>
      <c r="K235" s="69">
        <f>N135/1000*H235</f>
        <v>0</v>
      </c>
    </row>
    <row r="236" spans="4:11" s="65" customFormat="1" ht="12.75">
      <c r="D236" s="65" t="s">
        <v>198</v>
      </c>
      <c r="H236" s="65">
        <v>0.00198</v>
      </c>
      <c r="I236" s="65">
        <v>0</v>
      </c>
      <c r="K236" s="69">
        <f>N136/1000*H236</f>
        <v>0.012099978</v>
      </c>
    </row>
    <row r="237" spans="5:11" s="65" customFormat="1" ht="12.75">
      <c r="E237" s="65" t="s">
        <v>201</v>
      </c>
      <c r="G237" s="65">
        <v>0</v>
      </c>
      <c r="I237" s="65">
        <v>0</v>
      </c>
      <c r="K237" s="69"/>
    </row>
    <row r="238" s="65" customFormat="1" ht="12.75">
      <c r="K238" s="69"/>
    </row>
    <row r="239" spans="2:7" s="65" customFormat="1" ht="12.75">
      <c r="B239" s="65" t="s">
        <v>224</v>
      </c>
      <c r="D239" s="65" t="s">
        <v>203</v>
      </c>
      <c r="G239" s="65" t="s">
        <v>225</v>
      </c>
    </row>
    <row r="240" spans="4:7" s="65" customFormat="1" ht="12.75">
      <c r="D240" s="65" t="s">
        <v>204</v>
      </c>
      <c r="G240" s="65" t="s">
        <v>226</v>
      </c>
    </row>
    <row r="241" spans="4:7" s="65" customFormat="1" ht="12.75">
      <c r="D241" s="65" t="s">
        <v>205</v>
      </c>
      <c r="G241" s="65" t="s">
        <v>227</v>
      </c>
    </row>
    <row r="242" s="65" customFormat="1" ht="12.75">
      <c r="D242" s="65" t="s">
        <v>191</v>
      </c>
    </row>
    <row r="243" spans="4:11" s="65" customFormat="1" ht="12.75">
      <c r="D243" s="65" t="s">
        <v>158</v>
      </c>
      <c r="H243" s="65">
        <v>0.02367</v>
      </c>
      <c r="K243" s="69">
        <f>N144/1000*H243</f>
        <v>0</v>
      </c>
    </row>
    <row r="244" spans="4:11" s="65" customFormat="1" ht="12.75">
      <c r="D244" s="65" t="s">
        <v>196</v>
      </c>
      <c r="H244" s="65">
        <v>0.0263</v>
      </c>
      <c r="K244" s="69">
        <f>N145/1000*H244</f>
        <v>0</v>
      </c>
    </row>
    <row r="245" spans="4:11" s="65" customFormat="1" ht="12.75">
      <c r="D245" s="65" t="s">
        <v>198</v>
      </c>
      <c r="H245" s="65">
        <v>0.02893</v>
      </c>
      <c r="K245" s="69">
        <f>N146/1000*H245</f>
        <v>0.033625339</v>
      </c>
    </row>
    <row r="246" s="65" customFormat="1" ht="12.75">
      <c r="K246" s="69"/>
    </row>
    <row r="247" spans="1:11" s="65" customFormat="1" ht="12.75">
      <c r="A247" s="65" t="s">
        <v>228</v>
      </c>
      <c r="B247" s="65" t="s">
        <v>229</v>
      </c>
      <c r="D247" s="65" t="s">
        <v>203</v>
      </c>
      <c r="K247" s="69"/>
    </row>
    <row r="248" spans="2:11" s="65" customFormat="1" ht="12.75">
      <c r="B248" s="65" t="s">
        <v>230</v>
      </c>
      <c r="D248" s="65" t="s">
        <v>209</v>
      </c>
      <c r="K248" s="69"/>
    </row>
    <row r="249" spans="4:11" s="65" customFormat="1" ht="12.75">
      <c r="D249" s="65" t="s">
        <v>191</v>
      </c>
      <c r="K249" s="69"/>
    </row>
    <row r="250" spans="4:11" s="65" customFormat="1" ht="12.75">
      <c r="D250" s="65" t="s">
        <v>158</v>
      </c>
      <c r="H250" s="65">
        <v>0.014679</v>
      </c>
      <c r="I250" s="65">
        <v>0</v>
      </c>
      <c r="K250" s="69">
        <f>N149/1000*H250</f>
        <v>0</v>
      </c>
    </row>
    <row r="251" spans="4:11" s="65" customFormat="1" ht="12.75">
      <c r="D251" s="65" t="s">
        <v>196</v>
      </c>
      <c r="H251" s="65">
        <v>0.01631</v>
      </c>
      <c r="I251" s="65">
        <v>0</v>
      </c>
      <c r="K251" s="69">
        <f>N150/1000*H251</f>
        <v>0</v>
      </c>
    </row>
    <row r="252" spans="4:11" s="65" customFormat="1" ht="12.75">
      <c r="D252" s="65" t="s">
        <v>198</v>
      </c>
      <c r="K252" s="69">
        <f>N151/1000*H252</f>
        <v>0</v>
      </c>
    </row>
    <row r="253" spans="4:11" s="65" customFormat="1" ht="12.75">
      <c r="D253" s="65" t="s">
        <v>211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192</v>
      </c>
      <c r="K255" s="69"/>
    </row>
    <row r="256" spans="4:11" s="65" customFormat="1" ht="12.75">
      <c r="D256" s="65" t="s">
        <v>158</v>
      </c>
      <c r="K256" s="69">
        <f>N134/1000*H256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N135/1000*H257</f>
        <v>0</v>
      </c>
    </row>
    <row r="258" spans="4:11" s="65" customFormat="1" ht="12.75">
      <c r="D258" s="65" t="s">
        <v>198</v>
      </c>
      <c r="H258" s="65">
        <v>0.017941</v>
      </c>
      <c r="I258" s="65">
        <v>0</v>
      </c>
      <c r="K258" s="69">
        <f>N136/1000*H258</f>
        <v>0.1096392451</v>
      </c>
    </row>
    <row r="259" spans="5:11" s="65" customFormat="1" ht="12.75">
      <c r="E259" s="65" t="s">
        <v>201</v>
      </c>
      <c r="G259" s="65">
        <v>0</v>
      </c>
      <c r="I259" s="65">
        <v>0</v>
      </c>
      <c r="K259" s="69"/>
    </row>
    <row r="260" s="65" customFormat="1" ht="12.75">
      <c r="K260" s="69"/>
    </row>
    <row r="261" spans="1:11" s="65" customFormat="1" ht="12.75">
      <c r="A261" s="65" t="s">
        <v>231</v>
      </c>
      <c r="B261" s="65" t="s">
        <v>232</v>
      </c>
      <c r="D261" s="65" t="s">
        <v>203</v>
      </c>
      <c r="K261" s="69"/>
    </row>
    <row r="262" spans="2:11" s="65" customFormat="1" ht="12.75">
      <c r="B262" s="65" t="s">
        <v>233</v>
      </c>
      <c r="D262" s="65" t="s">
        <v>211</v>
      </c>
      <c r="K262" s="69"/>
    </row>
    <row r="263" spans="4:11" s="65" customFormat="1" ht="12.75">
      <c r="D263" s="65" t="s">
        <v>209</v>
      </c>
      <c r="K263" s="69"/>
    </row>
    <row r="264" spans="4:11" s="65" customFormat="1" ht="12.75">
      <c r="D264" s="65" t="s">
        <v>234</v>
      </c>
      <c r="K264" s="69"/>
    </row>
    <row r="265" spans="4:11" s="65" customFormat="1" ht="12.75">
      <c r="D265" s="65" t="s">
        <v>235</v>
      </c>
      <c r="F265" s="65" t="s">
        <v>236</v>
      </c>
      <c r="K265" s="69"/>
    </row>
    <row r="266" spans="4:11" s="65" customFormat="1" ht="12.75">
      <c r="D266" s="65" t="s">
        <v>191</v>
      </c>
      <c r="F266" s="65" t="s">
        <v>237</v>
      </c>
      <c r="K266" s="69"/>
    </row>
    <row r="267" spans="4:11" s="65" customFormat="1" ht="12.75">
      <c r="D267" s="65" t="s">
        <v>158</v>
      </c>
      <c r="H267" s="65">
        <v>41000</v>
      </c>
      <c r="I267" s="65">
        <v>0</v>
      </c>
      <c r="K267" s="69">
        <f>N162/H267</f>
        <v>0</v>
      </c>
    </row>
    <row r="268" spans="4:11" s="65" customFormat="1" ht="12.75">
      <c r="D268" s="65" t="s">
        <v>196</v>
      </c>
      <c r="H268" s="65">
        <v>39000</v>
      </c>
      <c r="I268" s="65">
        <v>0</v>
      </c>
      <c r="K268" s="69">
        <f>N163/H268</f>
        <v>0</v>
      </c>
    </row>
    <row r="269" spans="4:11" s="65" customFormat="1" ht="12.75">
      <c r="D269" s="65" t="s">
        <v>198</v>
      </c>
      <c r="H269" s="65">
        <v>37000</v>
      </c>
      <c r="I269" s="65">
        <v>0</v>
      </c>
      <c r="K269" s="69">
        <f>N164/H269</f>
        <v>0.16516486486486487</v>
      </c>
    </row>
    <row r="270" s="65" customFormat="1" ht="12.75">
      <c r="K270" s="69"/>
    </row>
    <row r="271" spans="4:11" s="65" customFormat="1" ht="12.75">
      <c r="D271" s="65" t="s">
        <v>238</v>
      </c>
      <c r="K271" s="69"/>
    </row>
    <row r="272" spans="4:11" s="65" customFormat="1" ht="12.75">
      <c r="D272" s="65" t="s">
        <v>239</v>
      </c>
      <c r="F272" s="65" t="s">
        <v>240</v>
      </c>
      <c r="K272" s="69"/>
    </row>
    <row r="273" spans="4:11" s="65" customFormat="1" ht="12.75">
      <c r="D273" s="65" t="s">
        <v>191</v>
      </c>
      <c r="K273" s="69"/>
    </row>
    <row r="274" spans="4:11" s="65" customFormat="1" ht="12.75">
      <c r="D274" s="65" t="s">
        <v>158</v>
      </c>
      <c r="H274" s="65">
        <v>450</v>
      </c>
      <c r="I274" s="65">
        <v>0</v>
      </c>
      <c r="K274" s="69">
        <f>N167/H274</f>
        <v>0</v>
      </c>
    </row>
    <row r="275" spans="4:11" s="65" customFormat="1" ht="12.75">
      <c r="D275" s="65" t="s">
        <v>196</v>
      </c>
      <c r="H275" s="65">
        <v>375</v>
      </c>
      <c r="I275" s="65">
        <v>0</v>
      </c>
      <c r="K275" s="69">
        <f>N168/H275</f>
        <v>0</v>
      </c>
    </row>
    <row r="276" spans="4:11" s="65" customFormat="1" ht="12.75">
      <c r="D276" s="65" t="s">
        <v>198</v>
      </c>
      <c r="H276" s="65">
        <v>310</v>
      </c>
      <c r="I276" s="65">
        <v>0</v>
      </c>
      <c r="K276" s="69">
        <f>N169/H276</f>
        <v>0.38387096774193546</v>
      </c>
    </row>
    <row r="277" spans="5:11" s="65" customFormat="1" ht="12.75">
      <c r="E277" s="65" t="s">
        <v>201</v>
      </c>
      <c r="G277" s="65">
        <v>0</v>
      </c>
      <c r="I277" s="65">
        <v>0</v>
      </c>
      <c r="K277" s="69"/>
    </row>
    <row r="278" s="65" customFormat="1" ht="12.75">
      <c r="K278" s="69"/>
    </row>
    <row r="279" spans="1:11" s="65" customFormat="1" ht="12.75">
      <c r="A279" s="65" t="s">
        <v>241</v>
      </c>
      <c r="B279" s="65" t="s">
        <v>242</v>
      </c>
      <c r="D279" s="65" t="s">
        <v>243</v>
      </c>
      <c r="K279" s="69"/>
    </row>
    <row r="280" spans="4:11" s="65" customFormat="1" ht="12.75">
      <c r="D280" s="65" t="s">
        <v>244</v>
      </c>
      <c r="F280" s="65" t="s">
        <v>240</v>
      </c>
      <c r="K280" s="69"/>
    </row>
    <row r="281" spans="4:11" s="65" customFormat="1" ht="12.75">
      <c r="D281" s="65" t="s">
        <v>245</v>
      </c>
      <c r="K281" s="69"/>
    </row>
    <row r="282" spans="4:11" s="65" customFormat="1" ht="12.75">
      <c r="D282" s="65" t="s">
        <v>158</v>
      </c>
      <c r="H282" s="65">
        <v>2350</v>
      </c>
      <c r="I282" s="65">
        <v>0</v>
      </c>
      <c r="K282" s="69">
        <f>N167/H282</f>
        <v>0</v>
      </c>
    </row>
    <row r="283" spans="4:11" s="65" customFormat="1" ht="12.75">
      <c r="D283" s="65" t="s">
        <v>196</v>
      </c>
      <c r="H283" s="65">
        <v>2250</v>
      </c>
      <c r="I283" s="65">
        <v>0</v>
      </c>
      <c r="K283" s="69">
        <f>N168/H283</f>
        <v>0</v>
      </c>
    </row>
    <row r="284" spans="4:11" s="65" customFormat="1" ht="12.75">
      <c r="D284" s="65" t="s">
        <v>198</v>
      </c>
      <c r="H284" s="65">
        <v>2200</v>
      </c>
      <c r="I284" s="65">
        <v>0</v>
      </c>
      <c r="K284" s="69">
        <f>N169/H284</f>
        <v>0.05409090909090909</v>
      </c>
    </row>
    <row r="285" spans="5:11" s="65" customFormat="1" ht="12.75">
      <c r="E285" s="65" t="s">
        <v>201</v>
      </c>
      <c r="G285" s="65">
        <v>0</v>
      </c>
      <c r="I285" s="65">
        <v>0</v>
      </c>
      <c r="K285" s="69"/>
    </row>
    <row r="286" s="65" customFormat="1" ht="12.75">
      <c r="K286" s="69">
        <f>K148+K149+K150+K158+K159+K160+K165+K166+K167+K171+K172+K173+K179+K180+K181+K185+K186+K187+K193+K194+K195+K199+K200+K201+K207+K208+K209+K213+K214+K215+K222+K223+K224+K228+K229+K230+K234+K235+K236+K243+K244+K245+K250+K251+K252+K256+K257+K258+K267+K268+K269+K274+K275+K276+K282+K283+K284</f>
        <v>1.4120064249977096</v>
      </c>
    </row>
    <row r="287" spans="1:11" s="65" customFormat="1" ht="12.75">
      <c r="A287" s="65" t="s">
        <v>246</v>
      </c>
      <c r="B287" s="65" t="s">
        <v>247</v>
      </c>
      <c r="F287" s="65" t="s">
        <v>248</v>
      </c>
      <c r="I287" s="65">
        <v>1</v>
      </c>
      <c r="K287" s="69">
        <f>K286*1.12</f>
        <v>1.5814471959974348</v>
      </c>
    </row>
    <row r="288" s="65" customFormat="1" ht="12.75">
      <c r="B288" s="65" t="s">
        <v>249</v>
      </c>
    </row>
    <row r="289" s="65" customFormat="1" ht="12.75">
      <c r="B289" s="65" t="s">
        <v>250</v>
      </c>
    </row>
    <row r="290" s="65" customFormat="1" ht="12.75"/>
    <row r="291" spans="1:9" s="65" customFormat="1" ht="12.75">
      <c r="A291" s="65" t="s">
        <v>251</v>
      </c>
      <c r="B291" s="65" t="s">
        <v>252</v>
      </c>
      <c r="I291" s="65">
        <v>2</v>
      </c>
    </row>
    <row r="292" spans="1:9" s="65" customFormat="1" ht="12.75">
      <c r="A292" s="65" t="s">
        <v>253</v>
      </c>
      <c r="B292" s="65" t="s">
        <v>254</v>
      </c>
      <c r="I292" s="65">
        <v>1</v>
      </c>
    </row>
    <row r="293" spans="1:9" s="65" customFormat="1" ht="12.75">
      <c r="A293" s="65" t="s">
        <v>255</v>
      </c>
      <c r="B293" s="65" t="s">
        <v>256</v>
      </c>
      <c r="I293" s="65">
        <v>1</v>
      </c>
    </row>
    <row r="294" spans="2:9" s="65" customFormat="1" ht="12.75">
      <c r="B294" s="65" t="s">
        <v>257</v>
      </c>
      <c r="I294" s="65">
        <v>5</v>
      </c>
    </row>
    <row r="295" s="65" customFormat="1" ht="12.75">
      <c r="F295" s="65" t="s">
        <v>258</v>
      </c>
    </row>
    <row r="296" spans="1:9" s="65" customFormat="1" ht="12.75">
      <c r="A296" s="65" t="s">
        <v>259</v>
      </c>
      <c r="B296" s="65" t="s">
        <v>260</v>
      </c>
      <c r="E296" s="65" t="s">
        <v>261</v>
      </c>
      <c r="G296" s="65">
        <v>804</v>
      </c>
      <c r="H296" s="65">
        <v>1200</v>
      </c>
      <c r="I296" s="65">
        <f>G296/H296</f>
        <v>0.67</v>
      </c>
    </row>
    <row r="297" spans="5:9" s="65" customFormat="1" ht="12.75">
      <c r="E297" s="65" t="s">
        <v>262</v>
      </c>
      <c r="H297" s="65">
        <v>1650</v>
      </c>
      <c r="I297" s="69">
        <f>G297/H297</f>
        <v>0</v>
      </c>
    </row>
    <row r="298" spans="5:9" s="65" customFormat="1" ht="12.75">
      <c r="E298" s="65" t="s">
        <v>263</v>
      </c>
      <c r="G298" s="65">
        <v>2641</v>
      </c>
      <c r="H298" s="65">
        <v>9000</v>
      </c>
      <c r="I298" s="69">
        <f>G298/H298</f>
        <v>0.29344444444444445</v>
      </c>
    </row>
    <row r="299" spans="3:9" s="65" customFormat="1" ht="12.75">
      <c r="C299" s="65" t="s">
        <v>201</v>
      </c>
      <c r="G299" s="65">
        <f>G296+G297+G298</f>
        <v>3445</v>
      </c>
      <c r="I299" s="69">
        <f>I296+I297+I298</f>
        <v>0.9634444444444445</v>
      </c>
    </row>
    <row r="300" s="65" customFormat="1" ht="12.75">
      <c r="F300" s="65" t="s">
        <v>258</v>
      </c>
    </row>
    <row r="301" spans="1:9" s="65" customFormat="1" ht="12.75">
      <c r="A301" s="65" t="s">
        <v>264</v>
      </c>
      <c r="B301" s="65" t="s">
        <v>265</v>
      </c>
      <c r="E301" s="65" t="s">
        <v>266</v>
      </c>
      <c r="G301" s="65">
        <v>550.5</v>
      </c>
      <c r="H301" s="65">
        <v>800</v>
      </c>
      <c r="I301" s="69">
        <f>G301/H301</f>
        <v>0.688125</v>
      </c>
    </row>
    <row r="302" spans="2:9" s="65" customFormat="1" ht="12.75">
      <c r="B302" s="65" t="s">
        <v>267</v>
      </c>
      <c r="E302" s="65" t="s">
        <v>268</v>
      </c>
      <c r="H302" s="65">
        <v>960</v>
      </c>
      <c r="I302" s="69">
        <f>G302/H302</f>
        <v>0</v>
      </c>
    </row>
    <row r="303" s="65" customFormat="1" ht="12.75">
      <c r="E303" s="65" t="s">
        <v>269</v>
      </c>
    </row>
    <row r="304" spans="3:9" s="65" customFormat="1" ht="12.75">
      <c r="C304" s="65" t="s">
        <v>201</v>
      </c>
      <c r="G304" s="65">
        <f>G301+G302+G303</f>
        <v>550.5</v>
      </c>
      <c r="I304" s="69">
        <f>I301+I302</f>
        <v>0.688125</v>
      </c>
    </row>
    <row r="305" s="65" customFormat="1" ht="12.75">
      <c r="F305" s="65" t="s">
        <v>270</v>
      </c>
    </row>
    <row r="306" spans="1:9" s="65" customFormat="1" ht="12.75">
      <c r="A306" s="65" t="s">
        <v>271</v>
      </c>
      <c r="B306" s="65" t="s">
        <v>272</v>
      </c>
      <c r="E306" s="65" t="s">
        <v>273</v>
      </c>
      <c r="H306" s="65">
        <v>500</v>
      </c>
      <c r="I306" s="69">
        <f>G306/H306</f>
        <v>0</v>
      </c>
    </row>
    <row r="307" spans="5:9" s="65" customFormat="1" ht="12.75">
      <c r="E307" s="65" t="s">
        <v>274</v>
      </c>
      <c r="H307" s="65">
        <v>700</v>
      </c>
      <c r="I307" s="69">
        <f>G307/H307</f>
        <v>0</v>
      </c>
    </row>
    <row r="308" s="65" customFormat="1" ht="12.75">
      <c r="E308" s="65" t="s">
        <v>275</v>
      </c>
    </row>
    <row r="309" spans="3:9" s="65" customFormat="1" ht="12.75">
      <c r="C309" s="65" t="s">
        <v>201</v>
      </c>
      <c r="G309" s="65">
        <f>G306+G307</f>
        <v>0</v>
      </c>
      <c r="I309" s="69">
        <f>I306+I307</f>
        <v>0</v>
      </c>
    </row>
    <row r="310" spans="1:2" s="65" customFormat="1" ht="12.75">
      <c r="A310" s="65" t="s">
        <v>276</v>
      </c>
      <c r="B310" s="65" t="s">
        <v>277</v>
      </c>
    </row>
    <row r="311" spans="2:9" s="65" customFormat="1" ht="12.75">
      <c r="B311" s="65" t="s">
        <v>278</v>
      </c>
      <c r="I311" s="65">
        <v>2</v>
      </c>
    </row>
  </sheetData>
  <sheetProtection/>
  <mergeCells count="44">
    <mergeCell ref="A1:K1"/>
    <mergeCell ref="A2:K2"/>
    <mergeCell ref="A4:K5"/>
    <mergeCell ref="A6:K6"/>
    <mergeCell ref="A13:H13"/>
    <mergeCell ref="A15:G15"/>
    <mergeCell ref="A19:F19"/>
    <mergeCell ref="A21:F21"/>
    <mergeCell ref="A24:F24"/>
    <mergeCell ref="A26:G26"/>
    <mergeCell ref="A27:G27"/>
    <mergeCell ref="A28:G28"/>
    <mergeCell ref="A30:E30"/>
    <mergeCell ref="A32:G32"/>
    <mergeCell ref="A33:G33"/>
    <mergeCell ref="A34:G34"/>
    <mergeCell ref="A35:G35"/>
    <mergeCell ref="A36:G36"/>
    <mergeCell ref="A37:G37"/>
    <mergeCell ref="A38:G38"/>
    <mergeCell ref="A40:G40"/>
    <mergeCell ref="A41:G41"/>
    <mergeCell ref="A42:G42"/>
    <mergeCell ref="A43:F43"/>
    <mergeCell ref="A44:F44"/>
    <mergeCell ref="A49:F49"/>
    <mergeCell ref="A53:G53"/>
    <mergeCell ref="A54:E54"/>
    <mergeCell ref="A55:G55"/>
    <mergeCell ref="A56:G56"/>
    <mergeCell ref="A59:D59"/>
    <mergeCell ref="A60:F60"/>
    <mergeCell ref="A63:E63"/>
    <mergeCell ref="C67:D67"/>
    <mergeCell ref="A70:F70"/>
    <mergeCell ref="A118:D118"/>
    <mergeCell ref="C99:I99"/>
    <mergeCell ref="A108:G108"/>
    <mergeCell ref="A112:E112"/>
    <mergeCell ref="A114:G114"/>
    <mergeCell ref="A71:G71"/>
    <mergeCell ref="A72:D72"/>
    <mergeCell ref="E72:G72"/>
    <mergeCell ref="A73:E7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6 M56 M66 L76:M76 H102:H104 H106 H108 K108 H114 H116 H120 H122" evalError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P34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14062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1107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27" t="s">
        <v>447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2" ht="15" customHeight="1">
      <c r="A5" s="129" t="s">
        <v>813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65">
        <f>9.11*1.042</f>
        <v>9.49262</v>
      </c>
    </row>
    <row r="6" spans="1:12" ht="15" customHeight="1">
      <c r="A6" s="14" t="s">
        <v>419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65">
        <f>9.49*0.04</f>
        <v>0.3796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f>33109.7*1.042</f>
        <v>34500.3074</v>
      </c>
      <c r="F12" s="9" t="s">
        <v>70</v>
      </c>
      <c r="H12" s="13"/>
      <c r="I12" s="13"/>
      <c r="K12" s="13"/>
      <c r="L12" s="67">
        <f>E14</f>
        <v>40738.990639999996</v>
      </c>
      <c r="M12" s="67"/>
      <c r="N12" s="67"/>
      <c r="O12" s="67"/>
      <c r="P12" s="67"/>
    </row>
    <row r="13" spans="1:16" s="9" customFormat="1" ht="15.75">
      <c r="A13" s="11" t="s">
        <v>420</v>
      </c>
      <c r="B13" s="11"/>
      <c r="C13" s="12"/>
      <c r="D13" s="11"/>
      <c r="E13" s="9">
        <f>5987.22*1.042</f>
        <v>6238.68324</v>
      </c>
      <c r="F13" s="9" t="s">
        <v>70</v>
      </c>
      <c r="H13" s="13"/>
      <c r="I13" s="13"/>
      <c r="K13" s="13"/>
      <c r="L13" s="92" t="e">
        <f>K20+K36+K64+K86+#REF!+K96</f>
        <v>#REF!</v>
      </c>
      <c r="M13" s="67"/>
      <c r="N13" s="67"/>
      <c r="O13" s="67"/>
      <c r="P13" s="67"/>
    </row>
    <row r="14" spans="1:16" s="9" customFormat="1" ht="15.75">
      <c r="A14" s="11" t="s">
        <v>421</v>
      </c>
      <c r="B14" s="11"/>
      <c r="C14" s="12"/>
      <c r="D14" s="11"/>
      <c r="E14" s="9">
        <f>E12+E13</f>
        <v>40738.990639999996</v>
      </c>
      <c r="F14" s="9" t="s">
        <v>70</v>
      </c>
      <c r="H14" s="13"/>
      <c r="I14" s="13"/>
      <c r="K14" s="13"/>
      <c r="L14" s="92" t="e">
        <f>L12-L13</f>
        <v>#REF!</v>
      </c>
      <c r="M14" s="67"/>
      <c r="N14" s="67">
        <f>E14*0.97</f>
        <v>39516.8209208</v>
      </c>
      <c r="O14" s="67"/>
      <c r="P14" s="67"/>
    </row>
    <row r="15" spans="1:16" s="9" customFormat="1" ht="15.75" customHeight="1">
      <c r="A15" s="118"/>
      <c r="B15" s="118"/>
      <c r="C15" s="118"/>
      <c r="D15" s="118"/>
      <c r="E15" s="118"/>
      <c r="F15" s="118"/>
      <c r="G15" s="118"/>
      <c r="H15" s="118"/>
      <c r="K15" s="14"/>
      <c r="L15" s="67"/>
      <c r="M15" s="67"/>
      <c r="N15" s="67"/>
      <c r="O15" s="67"/>
      <c r="P15" s="67"/>
    </row>
    <row r="16" spans="3:16" s="9" customFormat="1" ht="15.75">
      <c r="C16" s="15" t="s">
        <v>71</v>
      </c>
      <c r="D16" s="15"/>
      <c r="K16" s="5"/>
      <c r="L16" s="67"/>
      <c r="M16" s="67"/>
      <c r="N16" s="67"/>
      <c r="O16" s="67"/>
      <c r="P16" s="67"/>
    </row>
    <row r="17" spans="1:13" ht="15.75">
      <c r="A17" s="114" t="s">
        <v>72</v>
      </c>
      <c r="B17" s="114"/>
      <c r="C17" s="114"/>
      <c r="D17" s="114"/>
      <c r="E17" s="114"/>
      <c r="F17" s="114"/>
      <c r="G17" s="114"/>
      <c r="H17" s="16"/>
      <c r="I17" s="16"/>
      <c r="J17" s="16"/>
      <c r="K17" s="17">
        <f>K20+K36+K64+K86+K96+K112</f>
        <v>38318.09576768763</v>
      </c>
      <c r="L17" s="68"/>
      <c r="M17" s="65" t="s">
        <v>309</v>
      </c>
    </row>
    <row r="18" spans="1:11" ht="15.75">
      <c r="A18" s="15"/>
      <c r="B18" s="15"/>
      <c r="C18" s="19"/>
      <c r="D18" s="15"/>
      <c r="E18" s="15"/>
      <c r="F18" s="15"/>
      <c r="G18" s="15"/>
      <c r="H18" s="15"/>
      <c r="I18" s="15"/>
      <c r="J18" s="15"/>
      <c r="K18" s="18"/>
    </row>
    <row r="19" spans="1:13" ht="15.75">
      <c r="A19" s="15"/>
      <c r="B19" s="15"/>
      <c r="C19" s="19"/>
      <c r="D19" s="15"/>
      <c r="E19" s="15"/>
      <c r="F19" s="15"/>
      <c r="G19" s="15"/>
      <c r="H19" s="15"/>
      <c r="I19" s="15"/>
      <c r="J19" s="15"/>
      <c r="K19" s="18"/>
      <c r="L19" s="69"/>
      <c r="M19" s="65" t="s">
        <v>310</v>
      </c>
    </row>
    <row r="20" spans="1:15" ht="15.75">
      <c r="A20" s="20" t="s">
        <v>147</v>
      </c>
      <c r="B20" s="20"/>
      <c r="C20" s="20"/>
      <c r="D20" s="20"/>
      <c r="E20" s="20"/>
      <c r="F20" s="20"/>
      <c r="G20" s="20"/>
      <c r="H20" s="20"/>
      <c r="I20" s="21"/>
      <c r="J20" s="20"/>
      <c r="K20" s="21">
        <f>H22+H24+H25+H28+H30+H32+H34+H23</f>
        <v>8356.368992714863</v>
      </c>
      <c r="M20" s="65" t="s">
        <v>76</v>
      </c>
      <c r="O20" s="69">
        <f>I332</f>
        <v>1.075222222222222</v>
      </c>
    </row>
    <row r="21" spans="1:15" ht="12.75">
      <c r="A21" s="22" t="s">
        <v>77</v>
      </c>
      <c r="B21" s="22"/>
      <c r="C21" s="22"/>
      <c r="D21" s="22"/>
      <c r="E21" s="22"/>
      <c r="F21" s="22"/>
      <c r="G21" s="22"/>
      <c r="H21" s="22"/>
      <c r="I21" s="22"/>
      <c r="J21" s="22">
        <v>2972395.8</v>
      </c>
      <c r="K21" s="23"/>
      <c r="M21" s="65" t="s">
        <v>78</v>
      </c>
      <c r="O21" s="69">
        <f>I337</f>
        <v>0.513125</v>
      </c>
    </row>
    <row r="22" spans="1:15" ht="12.75">
      <c r="A22" s="113" t="s">
        <v>814</v>
      </c>
      <c r="B22" s="113"/>
      <c r="C22" s="113"/>
      <c r="D22" s="113"/>
      <c r="E22" s="113"/>
      <c r="F22" s="113"/>
      <c r="G22" s="22"/>
      <c r="H22" s="23">
        <f>O20*2600*1.75*1.07</f>
        <v>5234.719388888889</v>
      </c>
      <c r="I22" s="22"/>
      <c r="J22" s="22"/>
      <c r="K22" s="23"/>
      <c r="M22" s="65" t="s">
        <v>80</v>
      </c>
      <c r="O22" s="69"/>
    </row>
    <row r="23" spans="1:15" ht="12.75">
      <c r="A23" s="24" t="s">
        <v>701</v>
      </c>
      <c r="B23" s="24"/>
      <c r="C23" s="24"/>
      <c r="D23" s="24"/>
      <c r="E23" s="24"/>
      <c r="F23" s="24"/>
      <c r="G23" s="22"/>
      <c r="H23" s="23">
        <f>O21*2203*1.3*1.07</f>
        <v>1572.4063956250002</v>
      </c>
      <c r="I23" s="22"/>
      <c r="J23" s="22"/>
      <c r="K23" s="23"/>
      <c r="M23" s="65" t="s">
        <v>82</v>
      </c>
      <c r="O23" s="69">
        <v>4279.9</v>
      </c>
    </row>
    <row r="24" spans="1:15" ht="12.75">
      <c r="A24" s="113"/>
      <c r="B24" s="113"/>
      <c r="C24" s="113"/>
      <c r="D24" s="113"/>
      <c r="E24" s="113"/>
      <c r="F24" s="113"/>
      <c r="G24" s="22"/>
      <c r="H24" s="23"/>
      <c r="I24" s="22"/>
      <c r="J24" s="22"/>
      <c r="K24" s="23"/>
      <c r="M24" s="65" t="s">
        <v>83</v>
      </c>
      <c r="O24" s="65">
        <v>234</v>
      </c>
    </row>
    <row r="25" spans="1:16" ht="12.75">
      <c r="A25" s="23">
        <f>H22+H23</f>
        <v>6807.125784513889</v>
      </c>
      <c r="B25" s="22" t="s">
        <v>84</v>
      </c>
      <c r="C25" s="22"/>
      <c r="D25" s="22"/>
      <c r="E25" s="22"/>
      <c r="F25" s="22"/>
      <c r="G25" s="22"/>
      <c r="H25" s="23">
        <f>A25*0.142</f>
        <v>966.6118614009721</v>
      </c>
      <c r="I25" s="22"/>
      <c r="J25" s="22">
        <v>781740.1</v>
      </c>
      <c r="K25" s="25"/>
      <c r="L25" s="70"/>
      <c r="M25" s="65" t="s">
        <v>85</v>
      </c>
      <c r="P25" s="65">
        <f>O25/2</f>
        <v>0</v>
      </c>
    </row>
    <row r="26" spans="1:16" ht="12.75">
      <c r="A26" s="22" t="s">
        <v>86</v>
      </c>
      <c r="B26" s="22"/>
      <c r="C26" s="22"/>
      <c r="D26" s="22"/>
      <c r="E26" s="22"/>
      <c r="F26" s="22"/>
      <c r="G26" s="22"/>
      <c r="H26" s="23"/>
      <c r="I26" s="22"/>
      <c r="J26" s="22">
        <v>113966.82</v>
      </c>
      <c r="K26" s="23"/>
      <c r="N26" s="65">
        <v>9</v>
      </c>
      <c r="P26" s="65">
        <f>O26/2</f>
        <v>0</v>
      </c>
    </row>
    <row r="27" spans="1:11" ht="12.75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3"/>
    </row>
    <row r="28" spans="1:16" ht="12.75">
      <c r="A28" s="113" t="s">
        <v>815</v>
      </c>
      <c r="B28" s="113"/>
      <c r="C28" s="113"/>
      <c r="D28" s="113"/>
      <c r="E28" s="113"/>
      <c r="F28" s="113"/>
      <c r="G28" s="22"/>
      <c r="H28" s="23">
        <f>0.057*O23</f>
        <v>243.9543</v>
      </c>
      <c r="I28" s="23"/>
      <c r="J28" s="22"/>
      <c r="K28" s="23"/>
      <c r="N28" s="65">
        <v>10</v>
      </c>
      <c r="P28" s="65">
        <f>O28/2</f>
        <v>0</v>
      </c>
    </row>
    <row r="29" spans="1:11" ht="12.75">
      <c r="A29" s="24" t="s">
        <v>816</v>
      </c>
      <c r="B29" s="24"/>
      <c r="C29" s="24"/>
      <c r="D29" s="24"/>
      <c r="E29" s="24"/>
      <c r="F29" s="24"/>
      <c r="G29" s="22"/>
      <c r="H29" s="23">
        <f>O23*0.0085</f>
        <v>36.37915</v>
      </c>
      <c r="I29" s="23"/>
      <c r="J29" s="22"/>
      <c r="K29" s="23"/>
    </row>
    <row r="30" spans="1:13" ht="12.75">
      <c r="A30" s="113" t="s">
        <v>817</v>
      </c>
      <c r="B30" s="113"/>
      <c r="C30" s="113"/>
      <c r="D30" s="113"/>
      <c r="E30" s="113"/>
      <c r="F30" s="113"/>
      <c r="G30" s="113"/>
      <c r="H30" s="23">
        <f>0.005*O23</f>
        <v>21.3995</v>
      </c>
      <c r="I30" s="22"/>
      <c r="J30" s="22"/>
      <c r="K30" s="23"/>
      <c r="M30" s="65" t="s">
        <v>90</v>
      </c>
    </row>
    <row r="31" spans="1:11" ht="12.75">
      <c r="A31" s="24"/>
      <c r="B31" s="24"/>
      <c r="C31" s="24"/>
      <c r="D31" s="24"/>
      <c r="E31" s="24"/>
      <c r="F31" s="24"/>
      <c r="G31" s="24"/>
      <c r="H31" s="23"/>
      <c r="I31" s="22"/>
      <c r="J31" s="22"/>
      <c r="K31" s="23"/>
    </row>
    <row r="32" spans="1:15" ht="12.75">
      <c r="A32" s="113" t="s">
        <v>818</v>
      </c>
      <c r="B32" s="113"/>
      <c r="C32" s="113"/>
      <c r="D32" s="113"/>
      <c r="E32" s="113"/>
      <c r="F32" s="113"/>
      <c r="G32" s="113"/>
      <c r="H32" s="23">
        <f>O23*0.017</f>
        <v>72.7583</v>
      </c>
      <c r="I32" s="22"/>
      <c r="J32" s="22">
        <v>13606.82</v>
      </c>
      <c r="K32" s="23"/>
      <c r="M32" s="65" t="s">
        <v>92</v>
      </c>
      <c r="O32" s="65">
        <v>36</v>
      </c>
    </row>
    <row r="33" spans="1:11" ht="12.75">
      <c r="A33" s="24"/>
      <c r="B33" s="24"/>
      <c r="C33" s="24"/>
      <c r="D33" s="24"/>
      <c r="E33" s="24"/>
      <c r="F33" s="24"/>
      <c r="G33" s="24"/>
      <c r="H33" s="23"/>
      <c r="I33" s="22"/>
      <c r="J33" s="22"/>
      <c r="K33" s="23"/>
    </row>
    <row r="34" spans="1:15" ht="12.75">
      <c r="A34" s="113" t="s">
        <v>93</v>
      </c>
      <c r="B34" s="113"/>
      <c r="C34" s="113"/>
      <c r="D34" s="113"/>
      <c r="E34" s="113"/>
      <c r="F34" s="113"/>
      <c r="G34" s="113"/>
      <c r="H34" s="23">
        <f>0.054*O23*1.058</f>
        <v>244.5192468</v>
      </c>
      <c r="I34" s="22"/>
      <c r="J34" s="22"/>
      <c r="K34" s="23"/>
      <c r="M34" s="65" t="s">
        <v>94</v>
      </c>
      <c r="O34" s="65">
        <v>620</v>
      </c>
    </row>
    <row r="35" spans="1:11" ht="12.75">
      <c r="A35" s="24"/>
      <c r="B35" s="24"/>
      <c r="C35" s="24"/>
      <c r="D35" s="24"/>
      <c r="E35" s="24"/>
      <c r="F35" s="24"/>
      <c r="G35" s="24"/>
      <c r="H35" s="23"/>
      <c r="I35" s="22"/>
      <c r="J35" s="22"/>
      <c r="K35" s="23"/>
    </row>
    <row r="36" spans="1:15" ht="15.75">
      <c r="A36" s="110" t="s">
        <v>95</v>
      </c>
      <c r="B36" s="110"/>
      <c r="C36" s="110"/>
      <c r="D36" s="110"/>
      <c r="E36" s="110"/>
      <c r="F36" s="20"/>
      <c r="G36" s="20"/>
      <c r="H36" s="27"/>
      <c r="I36" s="20"/>
      <c r="J36" s="20"/>
      <c r="K36" s="21">
        <f>H38+H40+H42+H44+H46+H48+H50+H54+H56+H58+H60+K56+H52+H62</f>
        <v>7429.211160000001</v>
      </c>
      <c r="M36" s="65" t="s">
        <v>96</v>
      </c>
      <c r="O36" s="69">
        <f>K320</f>
        <v>1.294727397071682</v>
      </c>
    </row>
    <row r="37" spans="1:15" ht="12.75">
      <c r="A37" s="22"/>
      <c r="B37" s="22" t="s">
        <v>64</v>
      </c>
      <c r="C37" s="22"/>
      <c r="D37" s="22"/>
      <c r="E37" s="22"/>
      <c r="F37" s="22"/>
      <c r="G37" s="22"/>
      <c r="H37" s="28"/>
      <c r="I37" s="22"/>
      <c r="J37" s="22"/>
      <c r="K37" s="29"/>
      <c r="M37" s="65" t="s">
        <v>97</v>
      </c>
      <c r="O37" s="69">
        <f>O24*1.5/12/11.25</f>
        <v>2.6</v>
      </c>
    </row>
    <row r="38" spans="1:11" ht="12.75">
      <c r="A38" s="113" t="s">
        <v>819</v>
      </c>
      <c r="B38" s="113"/>
      <c r="C38" s="113"/>
      <c r="D38" s="113"/>
      <c r="E38" s="113"/>
      <c r="F38" s="113"/>
      <c r="G38" s="113"/>
      <c r="H38" s="28">
        <f>(O24*1.5)/12*90.3*1.058</f>
        <v>2794.4689500000004</v>
      </c>
      <c r="I38" s="22"/>
      <c r="J38" s="22"/>
      <c r="K38" s="29"/>
    </row>
    <row r="39" spans="1:11" ht="12.75">
      <c r="A39" s="24"/>
      <c r="B39" s="24"/>
      <c r="C39" s="24"/>
      <c r="D39" s="24"/>
      <c r="E39" s="24"/>
      <c r="F39" s="24"/>
      <c r="G39" s="24"/>
      <c r="H39" s="28"/>
      <c r="I39" s="22"/>
      <c r="J39" s="22"/>
      <c r="K39" s="29"/>
    </row>
    <row r="40" spans="1:11" ht="12.75">
      <c r="A40" s="113" t="s">
        <v>820</v>
      </c>
      <c r="B40" s="113"/>
      <c r="C40" s="113"/>
      <c r="D40" s="113"/>
      <c r="E40" s="113"/>
      <c r="F40" s="113"/>
      <c r="G40" s="113"/>
      <c r="H40" s="28">
        <f>O24*1.5*33.1/12*1.058</f>
        <v>1024.32915</v>
      </c>
      <c r="I40" s="22"/>
      <c r="J40" s="22"/>
      <c r="K40" s="29"/>
    </row>
    <row r="41" spans="1:11" ht="12.75">
      <c r="A41" s="24"/>
      <c r="B41" s="24"/>
      <c r="C41" s="24"/>
      <c r="D41" s="24"/>
      <c r="E41" s="24"/>
      <c r="F41" s="24"/>
      <c r="G41" s="24"/>
      <c r="H41" s="28"/>
      <c r="I41" s="22"/>
      <c r="J41" s="22"/>
      <c r="K41" s="29"/>
    </row>
    <row r="42" spans="1:11" ht="12.75">
      <c r="A42" s="113" t="s">
        <v>795</v>
      </c>
      <c r="B42" s="113"/>
      <c r="C42" s="113"/>
      <c r="D42" s="113"/>
      <c r="E42" s="113"/>
      <c r="F42" s="113"/>
      <c r="G42" s="113"/>
      <c r="H42" s="28">
        <f>O34*2.24*1.229</f>
        <v>1706.8352000000004</v>
      </c>
      <c r="I42" s="22"/>
      <c r="J42" s="22"/>
      <c r="K42" s="29"/>
    </row>
    <row r="43" spans="1:11" ht="12.75">
      <c r="A43" s="24"/>
      <c r="B43" s="24"/>
      <c r="C43" s="24"/>
      <c r="D43" s="24"/>
      <c r="E43" s="24"/>
      <c r="F43" s="24"/>
      <c r="G43" s="24"/>
      <c r="H43" s="28"/>
      <c r="I43" s="22"/>
      <c r="J43" s="22"/>
      <c r="K43" s="29"/>
    </row>
    <row r="44" spans="1:11" ht="12.75">
      <c r="A44" s="113" t="s">
        <v>821</v>
      </c>
      <c r="B44" s="113"/>
      <c r="C44" s="113"/>
      <c r="D44" s="113"/>
      <c r="E44" s="113"/>
      <c r="F44" s="113"/>
      <c r="G44" s="113"/>
      <c r="H44" s="28">
        <f>O23*0.0277</f>
        <v>118.55322999999999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1" ht="12.75">
      <c r="A46" s="113" t="s">
        <v>822</v>
      </c>
      <c r="B46" s="113"/>
      <c r="C46" s="113"/>
      <c r="D46" s="113"/>
      <c r="E46" s="113"/>
      <c r="F46" s="113"/>
      <c r="G46" s="113"/>
      <c r="H46" s="28">
        <f>O23*0.0027</f>
        <v>11.55573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2.75">
      <c r="A48" s="113" t="s">
        <v>460</v>
      </c>
      <c r="B48" s="113"/>
      <c r="C48" s="113"/>
      <c r="D48" s="113"/>
      <c r="E48" s="113"/>
      <c r="F48" s="113"/>
      <c r="G48" s="113"/>
      <c r="H48" s="28">
        <f>O32*4.81/12</f>
        <v>14.43</v>
      </c>
      <c r="I48" s="22"/>
      <c r="J48" s="22"/>
      <c r="K48" s="29"/>
    </row>
    <row r="49" spans="1:11" ht="12.75">
      <c r="A49" s="24"/>
      <c r="B49" s="24"/>
      <c r="C49" s="24"/>
      <c r="D49" s="24"/>
      <c r="E49" s="24"/>
      <c r="F49" s="24"/>
      <c r="G49" s="24"/>
      <c r="H49" s="28"/>
      <c r="I49" s="22"/>
      <c r="J49" s="22"/>
      <c r="K49" s="29"/>
    </row>
    <row r="50" spans="1:11" ht="12.75">
      <c r="A50" s="113" t="s">
        <v>823</v>
      </c>
      <c r="B50" s="113"/>
      <c r="C50" s="113"/>
      <c r="D50" s="113"/>
      <c r="E50" s="113"/>
      <c r="F50" s="113"/>
      <c r="G50" s="113"/>
      <c r="H50" s="28">
        <f>O23*0.11</f>
        <v>470.789</v>
      </c>
      <c r="I50" s="22"/>
      <c r="J50" s="22"/>
      <c r="K50" s="29"/>
    </row>
    <row r="51" spans="1:11" ht="12.75">
      <c r="A51" s="24"/>
      <c r="B51" s="24"/>
      <c r="C51" s="24"/>
      <c r="D51" s="24"/>
      <c r="E51" s="24"/>
      <c r="F51" s="24"/>
      <c r="G51" s="24"/>
      <c r="H51" s="28"/>
      <c r="I51" s="22"/>
      <c r="J51" s="22"/>
      <c r="K51" s="29"/>
    </row>
    <row r="52" spans="1:11" ht="12.75">
      <c r="A52" s="30" t="s">
        <v>824</v>
      </c>
      <c r="B52" s="30"/>
      <c r="C52" s="30"/>
      <c r="D52" s="30"/>
      <c r="E52" s="30"/>
      <c r="F52" s="30"/>
      <c r="G52" s="30"/>
      <c r="H52" s="31">
        <f>O23*0.216</f>
        <v>924.4583999999999</v>
      </c>
      <c r="I52" s="22"/>
      <c r="J52" s="22"/>
      <c r="K52" s="29"/>
    </row>
    <row r="53" spans="1:11" ht="12.75">
      <c r="A53" s="30"/>
      <c r="B53" s="30"/>
      <c r="C53" s="30"/>
      <c r="D53" s="30"/>
      <c r="E53" s="30"/>
      <c r="F53" s="30"/>
      <c r="G53" s="30"/>
      <c r="H53" s="31"/>
      <c r="I53" s="22"/>
      <c r="J53" s="22"/>
      <c r="K53" s="29"/>
    </row>
    <row r="54" spans="1:11" ht="12.75">
      <c r="A54" s="113" t="s">
        <v>825</v>
      </c>
      <c r="B54" s="113"/>
      <c r="C54" s="113"/>
      <c r="D54" s="113"/>
      <c r="E54" s="113"/>
      <c r="F54" s="113"/>
      <c r="G54" s="113"/>
      <c r="H54" s="28">
        <f>O23*0.027</f>
        <v>115.55729999999998</v>
      </c>
      <c r="I54" s="22"/>
      <c r="J54" s="3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32"/>
      <c r="K55" s="29"/>
    </row>
    <row r="56" spans="1:11" ht="12.75">
      <c r="A56" s="113" t="s">
        <v>826</v>
      </c>
      <c r="B56" s="113"/>
      <c r="C56" s="113"/>
      <c r="D56" s="113"/>
      <c r="E56" s="113"/>
      <c r="F56" s="113"/>
      <c r="G56" s="113"/>
      <c r="H56" s="28">
        <f>O23*0.022</f>
        <v>94.15779999999998</v>
      </c>
      <c r="I56" s="22"/>
      <c r="J56" s="22"/>
      <c r="K56" s="29"/>
    </row>
    <row r="57" spans="1:11" ht="12.75">
      <c r="A57" s="24"/>
      <c r="B57" s="24"/>
      <c r="C57" s="24"/>
      <c r="D57" s="24"/>
      <c r="E57" s="24"/>
      <c r="F57" s="24"/>
      <c r="G57" s="24"/>
      <c r="H57" s="28"/>
      <c r="I57" s="22"/>
      <c r="J57" s="22"/>
      <c r="K57" s="29"/>
    </row>
    <row r="58" spans="1:11" ht="12.75">
      <c r="A58" s="113" t="s">
        <v>827</v>
      </c>
      <c r="B58" s="113"/>
      <c r="C58" s="113"/>
      <c r="D58" s="113"/>
      <c r="E58" s="113"/>
      <c r="F58" s="113"/>
      <c r="G58" s="113"/>
      <c r="H58" s="28">
        <f>O23*0.022</f>
        <v>94.15779999999998</v>
      </c>
      <c r="I58" s="22"/>
      <c r="J58" s="22"/>
      <c r="K58" s="29"/>
    </row>
    <row r="59" spans="1:11" ht="12.75">
      <c r="A59" s="24"/>
      <c r="B59" s="24"/>
      <c r="C59" s="24"/>
      <c r="D59" s="24"/>
      <c r="E59" s="24"/>
      <c r="F59" s="24"/>
      <c r="G59" s="24"/>
      <c r="H59" s="28"/>
      <c r="I59" s="22"/>
      <c r="J59" s="22"/>
      <c r="K59" s="29"/>
    </row>
    <row r="60" spans="1:11" ht="12.75">
      <c r="A60" s="113" t="s">
        <v>828</v>
      </c>
      <c r="B60" s="113"/>
      <c r="C60" s="113"/>
      <c r="D60" s="113"/>
      <c r="E60" s="113"/>
      <c r="F60" s="113"/>
      <c r="G60" s="24"/>
      <c r="H60" s="28"/>
      <c r="I60" s="22"/>
      <c r="J60" s="22"/>
      <c r="K60" s="29"/>
    </row>
    <row r="61" spans="1:11" ht="12.75">
      <c r="A61" s="24"/>
      <c r="B61" s="24"/>
      <c r="C61" s="24"/>
      <c r="D61" s="24"/>
      <c r="E61" s="24"/>
      <c r="F61" s="24"/>
      <c r="G61" s="24"/>
      <c r="H61" s="28"/>
      <c r="I61" s="22"/>
      <c r="J61" s="22"/>
      <c r="K61" s="29"/>
    </row>
    <row r="62" spans="1:11" ht="12.75">
      <c r="A62" s="113" t="s">
        <v>829</v>
      </c>
      <c r="B62" s="113"/>
      <c r="C62" s="113"/>
      <c r="D62" s="113"/>
      <c r="E62" s="113"/>
      <c r="F62" s="113"/>
      <c r="G62" s="24"/>
      <c r="H62" s="28">
        <f>O23*0.014</f>
        <v>59.9186</v>
      </c>
      <c r="I62" s="22"/>
      <c r="J62" s="22"/>
      <c r="K62" s="29"/>
    </row>
    <row r="63" spans="1:11" ht="12.75">
      <c r="A63" s="24"/>
      <c r="B63" s="24"/>
      <c r="C63" s="24"/>
      <c r="D63" s="24"/>
      <c r="E63" s="24"/>
      <c r="F63" s="24"/>
      <c r="G63" s="24"/>
      <c r="H63" s="28"/>
      <c r="I63" s="22"/>
      <c r="J63" s="22"/>
      <c r="K63" s="29"/>
    </row>
    <row r="64" spans="1:13" ht="15.75">
      <c r="A64" s="20" t="s">
        <v>111</v>
      </c>
      <c r="B64" s="20"/>
      <c r="C64" s="20"/>
      <c r="D64" s="20"/>
      <c r="E64" s="20"/>
      <c r="F64" s="20"/>
      <c r="G64" s="20"/>
      <c r="H64" s="27"/>
      <c r="I64" s="20"/>
      <c r="J64" s="20"/>
      <c r="K64" s="21">
        <f>H68+H70+H72+H74+H76+H78+H80+H82+H84</f>
        <v>15327.731954972762</v>
      </c>
      <c r="M64" s="71" t="e">
        <f>K64/309084*#REF!</f>
        <v>#REF!</v>
      </c>
    </row>
    <row r="65" spans="1:11" ht="12.75">
      <c r="A65" s="22"/>
      <c r="B65" s="22" t="s">
        <v>64</v>
      </c>
      <c r="C65" s="22"/>
      <c r="D65" s="22"/>
      <c r="E65" s="22"/>
      <c r="F65" s="22"/>
      <c r="G65" s="22"/>
      <c r="H65" s="28"/>
      <c r="I65" s="22"/>
      <c r="J65" s="22"/>
      <c r="K65" s="29"/>
    </row>
    <row r="66" spans="1:11" ht="12.75">
      <c r="A66" s="33" t="s">
        <v>112</v>
      </c>
      <c r="B66" s="33"/>
      <c r="C66" s="33"/>
      <c r="D66" s="33"/>
      <c r="E66" s="33"/>
      <c r="F66" s="33"/>
      <c r="G66" s="33"/>
      <c r="H66" s="34"/>
      <c r="I66" s="33"/>
      <c r="J66" s="33"/>
      <c r="K66" s="35"/>
    </row>
    <row r="67" spans="1:11" ht="12.75">
      <c r="A67" s="33"/>
      <c r="B67" s="33"/>
      <c r="C67" s="33"/>
      <c r="D67" s="33"/>
      <c r="E67" s="33"/>
      <c r="F67" s="33"/>
      <c r="G67" s="33"/>
      <c r="H67" s="34"/>
      <c r="I67" s="33"/>
      <c r="J67" s="33"/>
      <c r="K67" s="35"/>
    </row>
    <row r="68" spans="1:11" ht="12.75">
      <c r="A68" s="111" t="s">
        <v>830</v>
      </c>
      <c r="B68" s="111"/>
      <c r="C68" s="111"/>
      <c r="D68" s="111"/>
      <c r="E68" s="111"/>
      <c r="F68" s="111"/>
      <c r="G68" s="36"/>
      <c r="H68" s="37">
        <f>K320*24.48*165.1*1.5*1.07</f>
        <v>8398.695993846552</v>
      </c>
      <c r="I68" s="38"/>
      <c r="J68" s="38"/>
      <c r="K68" s="35"/>
    </row>
    <row r="69" spans="1:11" ht="12.75">
      <c r="A69" s="33" t="s">
        <v>114</v>
      </c>
      <c r="B69" s="33"/>
      <c r="C69" s="33"/>
      <c r="D69" s="33"/>
      <c r="E69" s="33"/>
      <c r="F69" s="33"/>
      <c r="G69" s="33"/>
      <c r="H69" s="34"/>
      <c r="I69" s="33"/>
      <c r="J69" s="33"/>
      <c r="K69" s="35"/>
    </row>
    <row r="70" spans="1:11" ht="12.75">
      <c r="A70" s="39">
        <f>H68</f>
        <v>8398.695993846552</v>
      </c>
      <c r="B70" s="36" t="s">
        <v>115</v>
      </c>
      <c r="C70" s="36"/>
      <c r="D70" s="36"/>
      <c r="E70" s="36"/>
      <c r="F70" s="36"/>
      <c r="G70" s="38"/>
      <c r="H70" s="37">
        <f>H68*14.2%</f>
        <v>1192.6148311262102</v>
      </c>
      <c r="I70" s="38"/>
      <c r="J70" s="38"/>
      <c r="K70" s="35"/>
    </row>
    <row r="71" spans="1:11" ht="12.75">
      <c r="A71" s="119"/>
      <c r="B71" s="119"/>
      <c r="C71" s="119"/>
      <c r="D71" s="119"/>
      <c r="E71" s="119"/>
      <c r="F71" s="40"/>
      <c r="G71" s="40"/>
      <c r="H71" s="37"/>
      <c r="I71" s="38"/>
      <c r="J71" s="38"/>
      <c r="K71" s="35"/>
    </row>
    <row r="72" spans="1:11" ht="12.75">
      <c r="A72" s="30" t="s">
        <v>86</v>
      </c>
      <c r="B72" s="30"/>
      <c r="C72" s="30"/>
      <c r="D72" s="30"/>
      <c r="E72" s="30"/>
      <c r="F72" s="40"/>
      <c r="G72" s="40"/>
      <c r="H72" s="37">
        <f>0.04*O23</f>
        <v>171.196</v>
      </c>
      <c r="I72" s="38"/>
      <c r="J72" s="38"/>
      <c r="K72" s="35"/>
    </row>
    <row r="73" spans="1:11" ht="12.75">
      <c r="A73" s="30"/>
      <c r="B73" s="30"/>
      <c r="C73" s="30"/>
      <c r="D73" s="30"/>
      <c r="E73" s="30"/>
      <c r="F73" s="40"/>
      <c r="G73" s="40"/>
      <c r="H73" s="37"/>
      <c r="I73" s="38"/>
      <c r="J73" s="38"/>
      <c r="K73" s="35"/>
    </row>
    <row r="74" spans="1:11" ht="12.75">
      <c r="A74" s="108" t="s">
        <v>831</v>
      </c>
      <c r="B74" s="108"/>
      <c r="C74" s="108"/>
      <c r="D74" s="108"/>
      <c r="E74" s="108"/>
      <c r="F74" s="108"/>
      <c r="G74" s="108"/>
      <c r="H74" s="37">
        <v>4800</v>
      </c>
      <c r="I74" s="38"/>
      <c r="J74" s="38"/>
      <c r="K74" s="35"/>
    </row>
    <row r="75" spans="1:11" ht="12.75">
      <c r="A75" s="30"/>
      <c r="B75" s="30"/>
      <c r="C75" s="30"/>
      <c r="D75" s="30"/>
      <c r="E75" s="30"/>
      <c r="F75" s="30"/>
      <c r="G75" s="30"/>
      <c r="H75" s="37"/>
      <c r="I75" s="38"/>
      <c r="J75" s="38"/>
      <c r="K75" s="35"/>
    </row>
    <row r="76" spans="1:11" ht="12.75">
      <c r="A76" s="108" t="s">
        <v>832</v>
      </c>
      <c r="B76" s="108"/>
      <c r="C76" s="108"/>
      <c r="D76" s="108"/>
      <c r="E76" s="108"/>
      <c r="F76" s="30"/>
      <c r="G76" s="30"/>
      <c r="H76" s="37">
        <f>0.0037*O23</f>
        <v>15.83563</v>
      </c>
      <c r="I76" s="38"/>
      <c r="J76" s="38"/>
      <c r="K76" s="35"/>
    </row>
    <row r="77" spans="1:11" ht="12.75">
      <c r="A77" s="30"/>
      <c r="B77" s="30"/>
      <c r="C77" s="30"/>
      <c r="D77" s="30"/>
      <c r="E77" s="30"/>
      <c r="F77" s="30"/>
      <c r="G77" s="30"/>
      <c r="H77" s="37"/>
      <c r="I77" s="38"/>
      <c r="J77" s="38"/>
      <c r="K77" s="35"/>
    </row>
    <row r="78" spans="1:12" ht="12.75">
      <c r="A78" s="108" t="s">
        <v>833</v>
      </c>
      <c r="B78" s="108"/>
      <c r="C78" s="108"/>
      <c r="D78" s="108"/>
      <c r="E78" s="108"/>
      <c r="F78" s="108"/>
      <c r="G78" s="108"/>
      <c r="H78" s="37">
        <f>O23*0.082</f>
        <v>350.9518</v>
      </c>
      <c r="I78" s="38"/>
      <c r="J78" s="38"/>
      <c r="K78" s="35"/>
      <c r="L78" s="69"/>
    </row>
    <row r="79" spans="1:12" ht="12.75">
      <c r="A79" s="30"/>
      <c r="B79" s="30"/>
      <c r="C79" s="30"/>
      <c r="D79" s="30"/>
      <c r="E79" s="30"/>
      <c r="F79" s="30"/>
      <c r="G79" s="30"/>
      <c r="H79" s="37"/>
      <c r="I79" s="38"/>
      <c r="J79" s="38"/>
      <c r="K79" s="35"/>
      <c r="L79" s="69"/>
    </row>
    <row r="80" spans="1:13" ht="12.75">
      <c r="A80" s="108" t="s">
        <v>834</v>
      </c>
      <c r="B80" s="108"/>
      <c r="C80" s="108"/>
      <c r="D80" s="108"/>
      <c r="E80" s="108"/>
      <c r="F80" s="108"/>
      <c r="G80" s="108"/>
      <c r="H80" s="31">
        <f>O23*0.023</f>
        <v>98.43769999999999</v>
      </c>
      <c r="I80" s="33"/>
      <c r="J80" s="33"/>
      <c r="K80" s="35"/>
      <c r="M80" s="65" t="e">
        <f>36646.37/309083*#REF!</f>
        <v>#REF!</v>
      </c>
    </row>
    <row r="81" spans="1:11" ht="12.75">
      <c r="A81" s="30"/>
      <c r="B81" s="30"/>
      <c r="C81" s="30"/>
      <c r="D81" s="30"/>
      <c r="E81" s="30"/>
      <c r="F81" s="30"/>
      <c r="G81" s="30"/>
      <c r="H81" s="31"/>
      <c r="I81" s="33"/>
      <c r="J81" s="33"/>
      <c r="K81" s="35"/>
    </row>
    <row r="82" spans="1:11" ht="12.75">
      <c r="A82" s="111" t="s">
        <v>442</v>
      </c>
      <c r="B82" s="111"/>
      <c r="C82" s="111"/>
      <c r="D82" s="111"/>
      <c r="E82" s="111"/>
      <c r="F82" s="111"/>
      <c r="G82" s="111"/>
      <c r="H82" s="31">
        <v>100</v>
      </c>
      <c r="I82" s="33"/>
      <c r="J82" s="33"/>
      <c r="K82" s="35"/>
    </row>
    <row r="83" spans="1:11" ht="12.75">
      <c r="A83" s="36"/>
      <c r="B83" s="36"/>
      <c r="C83" s="36"/>
      <c r="D83" s="36"/>
      <c r="E83" s="36"/>
      <c r="F83" s="36"/>
      <c r="G83" s="36"/>
      <c r="H83" s="31"/>
      <c r="I83" s="33"/>
      <c r="J83" s="33"/>
      <c r="K83" s="35"/>
    </row>
    <row r="84" spans="1:11" ht="12.75">
      <c r="A84" s="41" t="s">
        <v>120</v>
      </c>
      <c r="B84" s="41"/>
      <c r="C84" s="41"/>
      <c r="D84" s="41"/>
      <c r="E84" s="40"/>
      <c r="F84" s="40"/>
      <c r="G84" s="40"/>
      <c r="H84" s="31">
        <v>200</v>
      </c>
      <c r="I84" s="40"/>
      <c r="J84" s="40"/>
      <c r="K84" s="35"/>
    </row>
    <row r="85" spans="1:11" ht="12.75">
      <c r="A85" s="41"/>
      <c r="B85" s="41"/>
      <c r="C85" s="41"/>
      <c r="D85" s="41"/>
      <c r="E85" s="40"/>
      <c r="F85" s="40"/>
      <c r="G85" s="40"/>
      <c r="H85" s="31"/>
      <c r="I85" s="40"/>
      <c r="J85" s="40"/>
      <c r="K85" s="35"/>
    </row>
    <row r="86" spans="1:13" ht="15.75">
      <c r="A86" s="110" t="s">
        <v>121</v>
      </c>
      <c r="B86" s="110"/>
      <c r="C86" s="110"/>
      <c r="D86" s="110"/>
      <c r="E86" s="42"/>
      <c r="F86" s="42"/>
      <c r="G86" s="20"/>
      <c r="H86" s="27"/>
      <c r="I86" s="20"/>
      <c r="J86" s="20"/>
      <c r="K86" s="21">
        <f>H89+H90+H92+H94</f>
        <v>3093.9397099999996</v>
      </c>
      <c r="M86" s="72" t="e">
        <f>51932.37/301083*#REF!</f>
        <v>#REF!</v>
      </c>
    </row>
    <row r="87" spans="1:13" ht="15.75">
      <c r="A87" s="125"/>
      <c r="B87" s="125"/>
      <c r="C87" s="125"/>
      <c r="D87" s="125"/>
      <c r="E87" s="130"/>
      <c r="F87" s="130"/>
      <c r="G87" s="54"/>
      <c r="H87" s="131"/>
      <c r="I87" s="54"/>
      <c r="J87" s="54"/>
      <c r="K87" s="56"/>
      <c r="M87" s="72"/>
    </row>
    <row r="88" spans="1:11" ht="12.75">
      <c r="A88" s="111" t="s">
        <v>122</v>
      </c>
      <c r="B88" s="111"/>
      <c r="C88" s="111"/>
      <c r="D88" s="111"/>
      <c r="E88" s="111"/>
      <c r="F88" s="111"/>
      <c r="G88" s="36"/>
      <c r="H88" s="37"/>
      <c r="I88" s="36"/>
      <c r="J88" s="36"/>
      <c r="K88" s="35"/>
    </row>
    <row r="89" spans="1:11" ht="12.75">
      <c r="A89" s="36" t="s">
        <v>835</v>
      </c>
      <c r="B89" s="36"/>
      <c r="C89" s="36"/>
      <c r="D89" s="36"/>
      <c r="E89" s="36"/>
      <c r="F89" s="36"/>
      <c r="G89" s="36"/>
      <c r="H89" s="37">
        <f>0.2227*O23</f>
        <v>953.13373</v>
      </c>
      <c r="I89" s="36"/>
      <c r="J89" s="36"/>
      <c r="K89" s="35"/>
    </row>
    <row r="90" spans="1:11" ht="12.75">
      <c r="A90" s="30" t="s">
        <v>836</v>
      </c>
      <c r="B90" s="43"/>
      <c r="C90" s="30"/>
      <c r="D90" s="30"/>
      <c r="E90" s="44"/>
      <c r="F90" s="38"/>
      <c r="G90" s="38"/>
      <c r="H90" s="37">
        <f>0.0257*O23</f>
        <v>109.99342999999999</v>
      </c>
      <c r="I90" s="38"/>
      <c r="J90" s="38"/>
      <c r="K90" s="35"/>
    </row>
    <row r="91" spans="1:11" ht="12.75">
      <c r="A91" s="30"/>
      <c r="B91" s="43"/>
      <c r="C91" s="30"/>
      <c r="D91" s="30"/>
      <c r="E91" s="44"/>
      <c r="F91" s="38"/>
      <c r="G91" s="38"/>
      <c r="H91" s="37"/>
      <c r="I91" s="38"/>
      <c r="J91" s="38"/>
      <c r="K91" s="35"/>
    </row>
    <row r="92" spans="1:11" ht="12.75">
      <c r="A92" s="111" t="s">
        <v>837</v>
      </c>
      <c r="B92" s="111"/>
      <c r="C92" s="111"/>
      <c r="D92" s="111"/>
      <c r="E92" s="111"/>
      <c r="F92" s="38"/>
      <c r="G92" s="38"/>
      <c r="H92" s="37">
        <f>0.0945*O23</f>
        <v>404.45054999999996</v>
      </c>
      <c r="I92" s="38"/>
      <c r="J92" s="38"/>
      <c r="K92" s="35"/>
    </row>
    <row r="93" spans="1:11" ht="12.75">
      <c r="A93" s="36"/>
      <c r="B93" s="36"/>
      <c r="C93" s="36"/>
      <c r="D93" s="36"/>
      <c r="E93" s="36"/>
      <c r="F93" s="38"/>
      <c r="G93" s="38"/>
      <c r="H93" s="37"/>
      <c r="I93" s="38"/>
      <c r="J93" s="38"/>
      <c r="K93" s="35"/>
    </row>
    <row r="94" spans="1:11" ht="12.75">
      <c r="A94" s="36" t="s">
        <v>838</v>
      </c>
      <c r="B94" s="36"/>
      <c r="C94" s="36"/>
      <c r="D94" s="36"/>
      <c r="E94" s="36"/>
      <c r="F94" s="38"/>
      <c r="G94" s="38"/>
      <c r="H94" s="37">
        <f>0.38*O23</f>
        <v>1626.3619999999999</v>
      </c>
      <c r="I94" s="38"/>
      <c r="J94" s="38"/>
      <c r="K94" s="45"/>
    </row>
    <row r="95" spans="1:13" ht="12.75">
      <c r="A95" s="30"/>
      <c r="B95" s="30"/>
      <c r="C95" s="30"/>
      <c r="D95" s="30"/>
      <c r="E95" s="38"/>
      <c r="F95" s="38"/>
      <c r="G95" s="38"/>
      <c r="H95" s="37"/>
      <c r="I95" s="38"/>
      <c r="J95" s="38"/>
      <c r="K95" s="45"/>
      <c r="M95" s="69"/>
    </row>
    <row r="96" spans="1:13" ht="15.75">
      <c r="A96" s="26" t="s">
        <v>127</v>
      </c>
      <c r="B96" s="26"/>
      <c r="C96" s="26"/>
      <c r="D96" s="26"/>
      <c r="E96" s="26"/>
      <c r="F96" s="26"/>
      <c r="G96" s="26"/>
      <c r="H96" s="46"/>
      <c r="I96" s="20"/>
      <c r="J96" s="20"/>
      <c r="K96" s="21">
        <f>O23*0.94</f>
        <v>4023.1059999999993</v>
      </c>
      <c r="M96" s="71" t="e">
        <f>231179.9/309083*#REF!</f>
        <v>#REF!</v>
      </c>
    </row>
    <row r="97" spans="1:11" ht="15.75">
      <c r="A97" s="47"/>
      <c r="B97" s="47"/>
      <c r="C97" s="112" t="s">
        <v>64</v>
      </c>
      <c r="D97" s="112"/>
      <c r="E97" s="47"/>
      <c r="F97" s="47"/>
      <c r="G97" s="47"/>
      <c r="H97" s="48"/>
      <c r="I97" s="47"/>
      <c r="J97" s="47"/>
      <c r="K97" s="49"/>
    </row>
    <row r="98" spans="1:11" ht="12.75">
      <c r="A98" s="30" t="s">
        <v>128</v>
      </c>
      <c r="B98" s="30"/>
      <c r="C98" s="30"/>
      <c r="D98" s="30"/>
      <c r="E98" s="30"/>
      <c r="F98" s="30"/>
      <c r="G98" s="30"/>
      <c r="H98" s="37"/>
      <c r="I98" s="38"/>
      <c r="J98" s="38"/>
      <c r="K98" s="35"/>
    </row>
    <row r="99" spans="1:11" ht="12.75">
      <c r="A99" s="30"/>
      <c r="B99" s="30"/>
      <c r="C99" s="30"/>
      <c r="D99" s="30"/>
      <c r="E99" s="30"/>
      <c r="F99" s="30"/>
      <c r="G99" s="30"/>
      <c r="H99" s="37"/>
      <c r="I99" s="38"/>
      <c r="J99" s="38"/>
      <c r="K99" s="35"/>
    </row>
    <row r="100" spans="1:11" ht="12.75">
      <c r="A100" s="30" t="s">
        <v>129</v>
      </c>
      <c r="B100" s="43"/>
      <c r="C100" s="30"/>
      <c r="D100" s="30"/>
      <c r="E100" s="30"/>
      <c r="F100" s="44"/>
      <c r="G100" s="44"/>
      <c r="H100" s="37"/>
      <c r="I100" s="38"/>
      <c r="J100" s="38"/>
      <c r="K100" s="35"/>
    </row>
    <row r="101" spans="1:11" ht="12.75">
      <c r="A101" s="30"/>
      <c r="B101" s="43"/>
      <c r="C101" s="30"/>
      <c r="D101" s="30"/>
      <c r="E101" s="30"/>
      <c r="F101" s="44"/>
      <c r="G101" s="44"/>
      <c r="H101" s="37"/>
      <c r="I101" s="38"/>
      <c r="J101" s="38"/>
      <c r="K101" s="35"/>
    </row>
    <row r="102" spans="1:11" ht="12.75">
      <c r="A102" s="108" t="s">
        <v>130</v>
      </c>
      <c r="B102" s="108"/>
      <c r="C102" s="108"/>
      <c r="D102" s="108"/>
      <c r="E102" s="108"/>
      <c r="F102" s="108"/>
      <c r="G102" s="44"/>
      <c r="H102" s="37"/>
      <c r="I102" s="38"/>
      <c r="J102" s="38"/>
      <c r="K102" s="35"/>
    </row>
    <row r="103" spans="1:11" ht="12.75">
      <c r="A103" s="30"/>
      <c r="B103" s="30"/>
      <c r="C103" s="30"/>
      <c r="D103" s="30"/>
      <c r="E103" s="30"/>
      <c r="F103" s="30"/>
      <c r="G103" s="44"/>
      <c r="H103" s="37"/>
      <c r="I103" s="38"/>
      <c r="J103" s="38"/>
      <c r="K103" s="35"/>
    </row>
    <row r="104" spans="1:11" ht="12.75">
      <c r="A104" s="108" t="s">
        <v>131</v>
      </c>
      <c r="B104" s="108"/>
      <c r="C104" s="108"/>
      <c r="D104" s="108"/>
      <c r="E104" s="108"/>
      <c r="F104" s="108"/>
      <c r="G104" s="108"/>
      <c r="H104" s="37"/>
      <c r="I104" s="38"/>
      <c r="J104" s="38"/>
      <c r="K104" s="35"/>
    </row>
    <row r="105" spans="1:11" ht="12.75">
      <c r="A105" s="30"/>
      <c r="B105" s="30"/>
      <c r="C105" s="30"/>
      <c r="D105" s="30"/>
      <c r="E105" s="30"/>
      <c r="F105" s="30"/>
      <c r="G105" s="30"/>
      <c r="H105" s="37"/>
      <c r="I105" s="38"/>
      <c r="J105" s="38"/>
      <c r="K105" s="35"/>
    </row>
    <row r="106" spans="1:11" ht="12.75">
      <c r="A106" s="108" t="s">
        <v>132</v>
      </c>
      <c r="B106" s="108"/>
      <c r="C106" s="108"/>
      <c r="D106" s="108"/>
      <c r="E106" s="109"/>
      <c r="F106" s="109"/>
      <c r="G106" s="109"/>
      <c r="H106" s="37"/>
      <c r="I106" s="38"/>
      <c r="J106" s="38"/>
      <c r="K106" s="35"/>
    </row>
    <row r="107" spans="1:11" ht="12.75">
      <c r="A107" s="30"/>
      <c r="B107" s="30"/>
      <c r="C107" s="30"/>
      <c r="D107" s="30"/>
      <c r="E107" s="50"/>
      <c r="F107" s="50"/>
      <c r="G107" s="50"/>
      <c r="H107" s="37"/>
      <c r="I107" s="38"/>
      <c r="J107" s="38"/>
      <c r="K107" s="35"/>
    </row>
    <row r="108" spans="1:11" ht="12.75">
      <c r="A108" s="108" t="s">
        <v>133</v>
      </c>
      <c r="B108" s="108"/>
      <c r="C108" s="108"/>
      <c r="D108" s="108"/>
      <c r="E108" s="108"/>
      <c r="F108" s="44"/>
      <c r="G108" s="44"/>
      <c r="H108" s="37"/>
      <c r="I108" s="38"/>
      <c r="J108" s="38"/>
      <c r="K108" s="35"/>
    </row>
    <row r="109" spans="1:11" ht="12.75">
      <c r="A109" s="30"/>
      <c r="B109" s="30"/>
      <c r="C109" s="30"/>
      <c r="D109" s="30"/>
      <c r="E109" s="30"/>
      <c r="F109" s="44"/>
      <c r="G109" s="44"/>
      <c r="H109" s="37"/>
      <c r="I109" s="38"/>
      <c r="J109" s="38"/>
      <c r="K109" s="35"/>
    </row>
    <row r="110" spans="1:11" ht="12.75">
      <c r="A110" s="44" t="s">
        <v>134</v>
      </c>
      <c r="B110" s="44"/>
      <c r="C110" s="44"/>
      <c r="D110" s="44"/>
      <c r="E110" s="44"/>
      <c r="F110" s="44"/>
      <c r="G110" s="44"/>
      <c r="H110" s="37"/>
      <c r="I110" s="38"/>
      <c r="J110" s="38"/>
      <c r="K110" s="35"/>
    </row>
    <row r="111" spans="1:11" ht="12.75">
      <c r="A111" s="22"/>
      <c r="B111" s="22"/>
      <c r="C111" s="22"/>
      <c r="D111" s="22"/>
      <c r="E111" s="22"/>
      <c r="F111" s="22"/>
      <c r="G111" s="22"/>
      <c r="H111" s="28"/>
      <c r="I111" s="22"/>
      <c r="J111" s="22"/>
      <c r="K111" s="29"/>
    </row>
    <row r="112" spans="1:13" ht="15.75">
      <c r="A112" s="20" t="s">
        <v>135</v>
      </c>
      <c r="B112" s="20"/>
      <c r="C112" s="20"/>
      <c r="D112" s="20"/>
      <c r="E112" s="20"/>
      <c r="F112" s="51"/>
      <c r="G112" s="51"/>
      <c r="H112" s="52"/>
      <c r="I112" s="51"/>
      <c r="J112" s="51"/>
      <c r="K112" s="21">
        <f>0.0205*O23</f>
        <v>87.73795</v>
      </c>
      <c r="L112" s="72" t="e">
        <f>K112/309084*#REF!</f>
        <v>#REF!</v>
      </c>
      <c r="M112" s="72" t="e">
        <f>L112/309084*#REF!</f>
        <v>#REF!</v>
      </c>
    </row>
    <row r="113" spans="1:13" ht="15.75">
      <c r="A113" s="53"/>
      <c r="B113" s="54"/>
      <c r="C113" s="54"/>
      <c r="D113" s="54"/>
      <c r="E113" s="54"/>
      <c r="F113" s="53"/>
      <c r="G113" s="53"/>
      <c r="H113" s="55"/>
      <c r="I113" s="53"/>
      <c r="J113" s="53"/>
      <c r="K113" s="56"/>
      <c r="L113" s="72"/>
      <c r="M113" s="72"/>
    </row>
    <row r="114" spans="1:11" ht="15.75">
      <c r="A114" s="57" t="s">
        <v>136</v>
      </c>
      <c r="B114" s="57"/>
      <c r="C114" s="57"/>
      <c r="D114" s="58"/>
      <c r="E114" s="58"/>
      <c r="F114" s="58"/>
      <c r="G114" s="58"/>
      <c r="H114" s="59"/>
      <c r="I114" s="58"/>
      <c r="J114" s="58"/>
      <c r="K114" s="60">
        <f>K17*6%</f>
        <v>2299.0857460612574</v>
      </c>
    </row>
    <row r="115" spans="1:11" ht="15">
      <c r="A115" s="58"/>
      <c r="B115" s="61"/>
      <c r="C115" s="61"/>
      <c r="D115" s="61"/>
      <c r="E115" s="61"/>
      <c r="F115" s="61"/>
      <c r="G115" s="61"/>
      <c r="H115" s="62"/>
      <c r="I115" s="58"/>
      <c r="J115" s="58"/>
      <c r="K115" s="58"/>
    </row>
    <row r="116" spans="1:11" ht="15.75">
      <c r="A116" s="63" t="s">
        <v>137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4">
        <f>K114+K17</f>
        <v>40617.18151374889</v>
      </c>
    </row>
    <row r="117" spans="1:11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4"/>
    </row>
    <row r="118" spans="1:11" ht="15.75">
      <c r="A118" s="63" t="s">
        <v>138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4">
        <f>K116/O23</f>
        <v>9.4902174148342</v>
      </c>
    </row>
    <row r="119" spans="1:11" ht="15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4"/>
    </row>
    <row r="120" spans="1:11" ht="15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4"/>
    </row>
    <row r="121" spans="7:11" ht="12.75">
      <c r="G121" s="123"/>
      <c r="H121" s="123"/>
      <c r="I121" s="123"/>
      <c r="J121" s="123"/>
      <c r="K121" s="123"/>
    </row>
    <row r="122" spans="7:11" ht="12.75">
      <c r="G122" s="123"/>
      <c r="H122" s="123"/>
      <c r="I122" s="123"/>
      <c r="J122" s="123"/>
      <c r="K122" s="123"/>
    </row>
    <row r="123" spans="7:11" ht="12.75">
      <c r="G123" s="123"/>
      <c r="H123" s="123"/>
      <c r="I123" s="123"/>
      <c r="J123" s="123"/>
      <c r="K123" s="123"/>
    </row>
    <row r="124" spans="7:11" ht="12.75">
      <c r="G124" s="123"/>
      <c r="H124" s="123"/>
      <c r="I124" s="123"/>
      <c r="J124" s="123"/>
      <c r="K124" s="123"/>
    </row>
    <row r="125" spans="7:11" ht="12.75">
      <c r="G125" s="123"/>
      <c r="H125" s="123"/>
      <c r="I125" s="123"/>
      <c r="J125" s="123"/>
      <c r="K125" s="123"/>
    </row>
    <row r="126" spans="7:11" ht="12.75">
      <c r="G126" s="123"/>
      <c r="H126" s="123"/>
      <c r="I126" s="123"/>
      <c r="J126" s="123"/>
      <c r="K126" s="123"/>
    </row>
    <row r="127" spans="7:11" ht="12.75">
      <c r="G127" s="123"/>
      <c r="H127" s="123"/>
      <c r="I127" s="123"/>
      <c r="J127" s="123"/>
      <c r="K127" s="123"/>
    </row>
    <row r="128" spans="7:11" ht="12.75">
      <c r="G128" s="123"/>
      <c r="H128" s="123"/>
      <c r="I128" s="123"/>
      <c r="J128" s="123"/>
      <c r="K128" s="123"/>
    </row>
    <row r="129" spans="7:11" ht="12.75">
      <c r="G129" s="123"/>
      <c r="H129" s="123"/>
      <c r="I129" s="123"/>
      <c r="J129" s="123"/>
      <c r="K129" s="123"/>
    </row>
    <row r="130" spans="7:11" ht="12.75">
      <c r="G130" s="123"/>
      <c r="H130" s="123"/>
      <c r="I130" s="123"/>
      <c r="J130" s="123"/>
      <c r="K130" s="123"/>
    </row>
    <row r="132" spans="3:9" s="65" customFormat="1" ht="15.75">
      <c r="C132" s="106" t="s">
        <v>139</v>
      </c>
      <c r="D132" s="107"/>
      <c r="E132" s="107"/>
      <c r="F132" s="107"/>
      <c r="G132" s="107"/>
      <c r="H132" s="107"/>
      <c r="I132" s="107"/>
    </row>
    <row r="133" spans="3:9" s="65" customFormat="1" ht="15.75">
      <c r="C133" s="74" t="s">
        <v>140</v>
      </c>
      <c r="D133" s="74" t="s">
        <v>141</v>
      </c>
      <c r="E133" s="74"/>
      <c r="F133" s="74"/>
      <c r="G133" s="75"/>
      <c r="H133" s="75"/>
      <c r="I133" s="75"/>
    </row>
    <row r="134" s="65" customFormat="1" ht="12.75"/>
    <row r="135" spans="5:8" s="65" customFormat="1" ht="12.75">
      <c r="E135" s="65" t="s">
        <v>142</v>
      </c>
      <c r="H135" s="65" t="e">
        <f>#REF!</f>
        <v>#REF!</v>
      </c>
    </row>
    <row r="136" spans="5:8" s="65" customFormat="1" ht="12.75">
      <c r="E136" s="65" t="s">
        <v>143</v>
      </c>
      <c r="H136" s="65" t="e">
        <f>#REF!</f>
        <v>#REF!</v>
      </c>
    </row>
    <row r="137" spans="5:8" s="65" customFormat="1" ht="12.75">
      <c r="E137" s="65" t="s">
        <v>144</v>
      </c>
      <c r="H137" s="65" t="e">
        <f>#REF!</f>
        <v>#REF!</v>
      </c>
    </row>
    <row r="138" spans="5:8" s="65" customFormat="1" ht="12.75">
      <c r="E138" s="65" t="s">
        <v>145</v>
      </c>
      <c r="H138" s="65">
        <f>O24</f>
        <v>234</v>
      </c>
    </row>
    <row r="139" spans="5:8" s="65" customFormat="1" ht="12.75">
      <c r="E139" s="65" t="s">
        <v>146</v>
      </c>
      <c r="H139" s="65" t="e">
        <f>#REF!</f>
        <v>#REF!</v>
      </c>
    </row>
    <row r="140" s="65" customFormat="1" ht="12.75"/>
    <row r="141" spans="1:11" s="65" customFormat="1" ht="15.75">
      <c r="A141" s="105" t="s">
        <v>72</v>
      </c>
      <c r="B141" s="105"/>
      <c r="C141" s="105"/>
      <c r="D141" s="105"/>
      <c r="E141" s="105"/>
      <c r="F141" s="105"/>
      <c r="G141" s="105"/>
      <c r="H141" s="76" t="e">
        <f>H143+H145+H147+H149+H151+H153+H155</f>
        <v>#REF!</v>
      </c>
      <c r="I141" s="77" t="s">
        <v>70</v>
      </c>
      <c r="K141" s="78" t="e">
        <f>H141-20000</f>
        <v>#REF!</v>
      </c>
    </row>
    <row r="142" spans="1:7" s="65" customFormat="1" ht="12.75">
      <c r="A142" s="79"/>
      <c r="B142" s="79"/>
      <c r="C142" s="79"/>
      <c r="D142" s="79"/>
      <c r="E142" s="79"/>
      <c r="F142" s="79"/>
      <c r="G142" s="79"/>
    </row>
    <row r="143" spans="1:8" s="65" customFormat="1" ht="15.75">
      <c r="A143" s="80" t="s">
        <v>147</v>
      </c>
      <c r="B143" s="80"/>
      <c r="C143" s="80"/>
      <c r="D143" s="80"/>
      <c r="E143" s="80"/>
      <c r="F143" s="80"/>
      <c r="G143" s="80"/>
      <c r="H143" s="78">
        <f>K20</f>
        <v>8356.368992714863</v>
      </c>
    </row>
    <row r="144" spans="1:8" s="65" customFormat="1" ht="12.75">
      <c r="A144" s="79"/>
      <c r="B144" s="79"/>
      <c r="C144" s="79"/>
      <c r="D144" s="79"/>
      <c r="E144" s="79"/>
      <c r="F144" s="79"/>
      <c r="G144" s="79"/>
      <c r="H144" s="78"/>
    </row>
    <row r="145" spans="1:8" s="65" customFormat="1" ht="15.75">
      <c r="A145" s="105" t="s">
        <v>95</v>
      </c>
      <c r="B145" s="105"/>
      <c r="C145" s="105"/>
      <c r="D145" s="105"/>
      <c r="E145" s="105"/>
      <c r="F145" s="80"/>
      <c r="G145" s="80"/>
      <c r="H145" s="78">
        <f>K36</f>
        <v>7429.211160000001</v>
      </c>
    </row>
    <row r="146" spans="1:8" s="65" customFormat="1" ht="12.75">
      <c r="A146" s="79"/>
      <c r="B146" s="79"/>
      <c r="C146" s="79"/>
      <c r="D146" s="79"/>
      <c r="E146" s="79"/>
      <c r="F146" s="79"/>
      <c r="G146" s="79"/>
      <c r="H146" s="78"/>
    </row>
    <row r="147" spans="1:8" s="65" customFormat="1" ht="15.75">
      <c r="A147" s="105" t="s">
        <v>148</v>
      </c>
      <c r="B147" s="105"/>
      <c r="C147" s="105"/>
      <c r="D147" s="105"/>
      <c r="E147" s="105"/>
      <c r="F147" s="105"/>
      <c r="G147" s="105"/>
      <c r="H147" s="81" t="e">
        <f>#REF!</f>
        <v>#REF!</v>
      </c>
    </row>
    <row r="148" spans="1:8" s="65" customFormat="1" ht="12.75">
      <c r="A148" s="79"/>
      <c r="B148" s="79"/>
      <c r="C148" s="79"/>
      <c r="D148" s="79"/>
      <c r="E148" s="79"/>
      <c r="F148" s="79"/>
      <c r="G148" s="79"/>
      <c r="H148" s="82"/>
    </row>
    <row r="149" spans="1:8" s="65" customFormat="1" ht="15.75">
      <c r="A149" s="80" t="s">
        <v>111</v>
      </c>
      <c r="B149" s="80"/>
      <c r="C149" s="80"/>
      <c r="D149" s="80"/>
      <c r="E149" s="80"/>
      <c r="F149" s="80"/>
      <c r="G149" s="80"/>
      <c r="H149" s="82" t="e">
        <f>M64</f>
        <v>#REF!</v>
      </c>
    </row>
    <row r="150" spans="1:8" s="65" customFormat="1" ht="12.75">
      <c r="A150" s="79"/>
      <c r="B150" s="79"/>
      <c r="C150" s="79"/>
      <c r="D150" s="79"/>
      <c r="E150" s="79"/>
      <c r="F150" s="79"/>
      <c r="G150" s="79"/>
      <c r="H150" s="82"/>
    </row>
    <row r="151" spans="1:8" s="65" customFormat="1" ht="15.75">
      <c r="A151" s="105" t="s">
        <v>149</v>
      </c>
      <c r="B151" s="105"/>
      <c r="C151" s="105"/>
      <c r="D151" s="105"/>
      <c r="E151" s="80"/>
      <c r="F151" s="80"/>
      <c r="G151" s="80"/>
      <c r="H151" s="81" t="e">
        <f>M86</f>
        <v>#REF!</v>
      </c>
    </row>
    <row r="152" spans="1:8" s="65" customFormat="1" ht="12.75">
      <c r="A152" s="79"/>
      <c r="B152" s="79"/>
      <c r="C152" s="79"/>
      <c r="D152" s="79"/>
      <c r="E152" s="79"/>
      <c r="F152" s="79"/>
      <c r="G152" s="79"/>
      <c r="H152" s="82"/>
    </row>
    <row r="153" spans="1:8" s="65" customFormat="1" ht="15.75">
      <c r="A153" s="83" t="s">
        <v>127</v>
      </c>
      <c r="B153" s="83"/>
      <c r="C153" s="83"/>
      <c r="D153" s="83"/>
      <c r="E153" s="83"/>
      <c r="F153" s="83"/>
      <c r="G153" s="83"/>
      <c r="H153" s="81" t="e">
        <f>M96</f>
        <v>#REF!</v>
      </c>
    </row>
    <row r="154" spans="1:8" s="65" customFormat="1" ht="12.75">
      <c r="A154" s="79"/>
      <c r="B154" s="79"/>
      <c r="C154" s="79"/>
      <c r="D154" s="79"/>
      <c r="E154" s="79"/>
      <c r="F154" s="79"/>
      <c r="G154" s="79"/>
      <c r="H154" s="82"/>
    </row>
    <row r="155" spans="1:8" s="65" customFormat="1" ht="15.75">
      <c r="A155" s="80" t="s">
        <v>150</v>
      </c>
      <c r="B155" s="80"/>
      <c r="C155" s="80"/>
      <c r="D155" s="80"/>
      <c r="E155" s="80"/>
      <c r="F155" s="84"/>
      <c r="G155" s="84"/>
      <c r="H155" s="81" t="e">
        <f>L112</f>
        <v>#REF!</v>
      </c>
    </row>
    <row r="156" s="65" customFormat="1" ht="12.75"/>
    <row r="157" s="65" customFormat="1" ht="12.75"/>
    <row r="158" s="65" customFormat="1" ht="12.75">
      <c r="H158" s="65" t="s">
        <v>151</v>
      </c>
    </row>
    <row r="159" s="65" customFormat="1" ht="12.75">
      <c r="H159" s="65" t="s">
        <v>146</v>
      </c>
    </row>
    <row r="160" s="65" customFormat="1" ht="12.75">
      <c r="H160" s="65" t="s">
        <v>152</v>
      </c>
    </row>
    <row r="161" s="65" customFormat="1" ht="12.75"/>
    <row r="162" s="65" customFormat="1" ht="12.75"/>
    <row r="163" s="65" customFormat="1" ht="12.75">
      <c r="F163" s="65" t="s">
        <v>153</v>
      </c>
    </row>
    <row r="164" s="65" customFormat="1" ht="12.75">
      <c r="D164" s="65" t="s">
        <v>154</v>
      </c>
    </row>
    <row r="165" s="65" customFormat="1" ht="12.75">
      <c r="D165" s="65" t="s">
        <v>155</v>
      </c>
    </row>
    <row r="166" spans="6:13" s="65" customFormat="1" ht="12.75">
      <c r="F166" s="65" t="s">
        <v>156</v>
      </c>
      <c r="M166" s="65" t="s">
        <v>157</v>
      </c>
    </row>
    <row r="167" s="65" customFormat="1" ht="12.75">
      <c r="M167" s="65" t="s">
        <v>158</v>
      </c>
    </row>
    <row r="168" spans="1:13" s="65" customFormat="1" ht="12.75">
      <c r="A168" s="65" t="s">
        <v>159</v>
      </c>
      <c r="B168" s="65" t="s">
        <v>160</v>
      </c>
      <c r="D168" s="65" t="s">
        <v>161</v>
      </c>
      <c r="F168" s="65" t="s">
        <v>162</v>
      </c>
      <c r="G168" s="65" t="s">
        <v>163</v>
      </c>
      <c r="H168" s="65" t="s">
        <v>164</v>
      </c>
      <c r="J168" s="65" t="s">
        <v>165</v>
      </c>
      <c r="M168" s="73" t="s">
        <v>166</v>
      </c>
    </row>
    <row r="169" spans="1:14" s="65" customFormat="1" ht="12.75">
      <c r="A169" s="65" t="s">
        <v>167</v>
      </c>
      <c r="B169" s="65" t="s">
        <v>168</v>
      </c>
      <c r="D169" s="65" t="s">
        <v>169</v>
      </c>
      <c r="F169" s="65" t="s">
        <v>170</v>
      </c>
      <c r="G169" s="65" t="s">
        <v>171</v>
      </c>
      <c r="H169" s="65" t="s">
        <v>172</v>
      </c>
      <c r="J169" s="65" t="s">
        <v>173</v>
      </c>
      <c r="M169" s="65" t="s">
        <v>174</v>
      </c>
      <c r="N169" s="65">
        <v>4752.4</v>
      </c>
    </row>
    <row r="170" spans="8:9" s="65" customFormat="1" ht="12.75">
      <c r="H170" s="65" t="s">
        <v>175</v>
      </c>
      <c r="I170" s="65" t="s">
        <v>176</v>
      </c>
    </row>
    <row r="171" spans="8:13" s="65" customFormat="1" ht="12.75">
      <c r="H171" s="65" t="s">
        <v>170</v>
      </c>
      <c r="I171" s="65" t="s">
        <v>177</v>
      </c>
      <c r="M171" s="65" t="s">
        <v>178</v>
      </c>
    </row>
    <row r="172" spans="9:13" s="65" customFormat="1" ht="12.75">
      <c r="I172" s="65" t="s">
        <v>179</v>
      </c>
      <c r="M172" s="65" t="s">
        <v>158</v>
      </c>
    </row>
    <row r="173" s="65" customFormat="1" ht="12.75">
      <c r="M173" s="73" t="s">
        <v>166</v>
      </c>
    </row>
    <row r="174" spans="1:14" s="65" customFormat="1" ht="12.75">
      <c r="A174" s="65" t="s">
        <v>180</v>
      </c>
      <c r="B174" s="65" t="s">
        <v>181</v>
      </c>
      <c r="D174" s="65" t="s">
        <v>182</v>
      </c>
      <c r="M174" s="65" t="s">
        <v>174</v>
      </c>
      <c r="N174" s="65">
        <v>1586.6</v>
      </c>
    </row>
    <row r="175" spans="2:4" s="65" customFormat="1" ht="12.75">
      <c r="B175" s="65" t="s">
        <v>183</v>
      </c>
      <c r="D175" s="65" t="s">
        <v>184</v>
      </c>
    </row>
    <row r="176" spans="2:13" s="65" customFormat="1" ht="12.75">
      <c r="B176" s="65" t="s">
        <v>185</v>
      </c>
      <c r="D176" s="65" t="s">
        <v>186</v>
      </c>
      <c r="M176" s="65" t="s">
        <v>187</v>
      </c>
    </row>
    <row r="177" spans="2:13" s="65" customFormat="1" ht="12.75">
      <c r="B177" s="65" t="s">
        <v>188</v>
      </c>
      <c r="D177" s="65" t="s">
        <v>189</v>
      </c>
      <c r="M177" s="65" t="s">
        <v>158</v>
      </c>
    </row>
    <row r="178" spans="2:13" s="65" customFormat="1" ht="12.75">
      <c r="B178" s="65" t="s">
        <v>190</v>
      </c>
      <c r="M178" s="73" t="s">
        <v>166</v>
      </c>
    </row>
    <row r="179" spans="4:14" s="65" customFormat="1" ht="12.75">
      <c r="D179" s="65" t="s">
        <v>191</v>
      </c>
      <c r="M179" s="65" t="s">
        <v>174</v>
      </c>
      <c r="N179" s="65">
        <v>1269.3</v>
      </c>
    </row>
    <row r="180" spans="4:6" s="65" customFormat="1" ht="12.75">
      <c r="D180" s="65" t="s">
        <v>192</v>
      </c>
      <c r="F180" s="65" t="s">
        <v>193</v>
      </c>
    </row>
    <row r="181" spans="4:13" s="65" customFormat="1" ht="12.75">
      <c r="D181" s="65" t="s">
        <v>158</v>
      </c>
      <c r="F181" s="65" t="s">
        <v>194</v>
      </c>
      <c r="H181" s="65">
        <v>0.0687</v>
      </c>
      <c r="I181" s="65">
        <v>0</v>
      </c>
      <c r="K181" s="65">
        <f>N172/1000*H181</f>
        <v>0</v>
      </c>
      <c r="M181" s="65" t="s">
        <v>195</v>
      </c>
    </row>
    <row r="182" spans="4:13" s="65" customFormat="1" ht="12.75">
      <c r="D182" s="65" t="s">
        <v>196</v>
      </c>
      <c r="F182" s="65" t="s">
        <v>197</v>
      </c>
      <c r="H182" s="65">
        <v>0.0763</v>
      </c>
      <c r="I182" s="65">
        <v>0</v>
      </c>
      <c r="K182" s="65">
        <f>N173/1000*H182</f>
        <v>0</v>
      </c>
      <c r="M182" s="65" t="s">
        <v>158</v>
      </c>
    </row>
    <row r="183" spans="4:13" s="65" customFormat="1" ht="12.75">
      <c r="D183" s="65" t="s">
        <v>198</v>
      </c>
      <c r="F183" s="65" t="s">
        <v>199</v>
      </c>
      <c r="H183" s="65">
        <v>0.0839</v>
      </c>
      <c r="I183" s="65">
        <v>0</v>
      </c>
      <c r="K183" s="69">
        <f>N174/1000*H183</f>
        <v>0.13311574</v>
      </c>
      <c r="M183" s="73" t="s">
        <v>166</v>
      </c>
    </row>
    <row r="184" spans="6:13" s="65" customFormat="1" ht="12.75">
      <c r="F184" s="65" t="s">
        <v>200</v>
      </c>
      <c r="M184" s="65" t="s">
        <v>174</v>
      </c>
    </row>
    <row r="185" s="65" customFormat="1" ht="12.75">
      <c r="F185" s="65" t="s">
        <v>190</v>
      </c>
    </row>
    <row r="186" spans="5:9" s="65" customFormat="1" ht="12.75">
      <c r="E186" s="65" t="s">
        <v>201</v>
      </c>
      <c r="I186" s="65">
        <v>0</v>
      </c>
    </row>
    <row r="187" spans="2:4" s="65" customFormat="1" ht="12.75">
      <c r="B187" s="65" t="s">
        <v>202</v>
      </c>
      <c r="D187" s="65" t="s">
        <v>203</v>
      </c>
    </row>
    <row r="188" s="65" customFormat="1" ht="12.75">
      <c r="D188" s="65" t="s">
        <v>204</v>
      </c>
    </row>
    <row r="189" s="65" customFormat="1" ht="12.75">
      <c r="D189" s="65" t="s">
        <v>205</v>
      </c>
    </row>
    <row r="190" s="65" customFormat="1" ht="12.75">
      <c r="D190" s="65" t="s">
        <v>191</v>
      </c>
    </row>
    <row r="191" spans="4:11" s="65" customFormat="1" ht="12.75">
      <c r="D191" s="65" t="s">
        <v>158</v>
      </c>
      <c r="H191" s="65">
        <v>0.00338</v>
      </c>
      <c r="K191" s="69">
        <f>N195/1000*H191</f>
        <v>0</v>
      </c>
    </row>
    <row r="192" spans="4:11" s="65" customFormat="1" ht="12.75">
      <c r="D192" s="65" t="s">
        <v>196</v>
      </c>
      <c r="H192" s="65">
        <v>0.00376</v>
      </c>
      <c r="K192" s="69">
        <f>N196/1000*H192</f>
        <v>0</v>
      </c>
    </row>
    <row r="193" spans="4:11" s="65" customFormat="1" ht="12.75">
      <c r="D193" s="65" t="s">
        <v>198</v>
      </c>
      <c r="H193" s="65">
        <v>0.00414</v>
      </c>
      <c r="K193" s="69">
        <f>N197/1000*H193</f>
        <v>0.019674935999999997</v>
      </c>
    </row>
    <row r="194" s="65" customFormat="1" ht="12.75">
      <c r="M194" s="65" t="s">
        <v>206</v>
      </c>
    </row>
    <row r="195" spans="1:13" s="65" customFormat="1" ht="12.75">
      <c r="A195" s="65" t="s">
        <v>207</v>
      </c>
      <c r="B195" s="65" t="s">
        <v>208</v>
      </c>
      <c r="D195" s="65" t="s">
        <v>203</v>
      </c>
      <c r="M195" s="65" t="s">
        <v>158</v>
      </c>
    </row>
    <row r="196" spans="4:13" s="65" customFormat="1" ht="12.75">
      <c r="D196" s="65" t="s">
        <v>209</v>
      </c>
      <c r="M196" s="73" t="s">
        <v>166</v>
      </c>
    </row>
    <row r="197" spans="4:14" s="65" customFormat="1" ht="12.75">
      <c r="D197" s="65" t="s">
        <v>191</v>
      </c>
      <c r="M197" s="65" t="s">
        <v>174</v>
      </c>
      <c r="N197" s="65">
        <f>N169</f>
        <v>4752.4</v>
      </c>
    </row>
    <row r="198" spans="4:11" s="65" customFormat="1" ht="12.75">
      <c r="D198" s="65" t="s">
        <v>158</v>
      </c>
      <c r="H198" s="65">
        <v>0.02043</v>
      </c>
      <c r="I198" s="65">
        <v>0</v>
      </c>
      <c r="K198" s="65">
        <f>N182/1000*H198</f>
        <v>0</v>
      </c>
    </row>
    <row r="199" spans="4:13" s="65" customFormat="1" ht="12.75">
      <c r="D199" s="65" t="s">
        <v>196</v>
      </c>
      <c r="H199" s="65">
        <v>0.0227</v>
      </c>
      <c r="I199" s="65">
        <v>0</v>
      </c>
      <c r="K199" s="65">
        <f>N183/1000*H199</f>
        <v>0</v>
      </c>
      <c r="M199" s="65" t="s">
        <v>210</v>
      </c>
    </row>
    <row r="200" spans="4:13" s="65" customFormat="1" ht="12.75">
      <c r="D200" s="65" t="s">
        <v>198</v>
      </c>
      <c r="H200" s="65">
        <v>0.02497</v>
      </c>
      <c r="I200" s="65">
        <v>0</v>
      </c>
      <c r="K200" s="65">
        <f>N184/1000*H200</f>
        <v>0</v>
      </c>
      <c r="M200" s="65" t="s">
        <v>158</v>
      </c>
    </row>
    <row r="201" spans="4:13" s="65" customFormat="1" ht="12.75">
      <c r="D201" s="65" t="s">
        <v>211</v>
      </c>
      <c r="M201" s="73" t="s">
        <v>166</v>
      </c>
    </row>
    <row r="202" spans="4:14" s="65" customFormat="1" ht="12.75">
      <c r="D202" s="65" t="s">
        <v>191</v>
      </c>
      <c r="M202" s="65" t="s">
        <v>174</v>
      </c>
      <c r="N202" s="65">
        <v>95</v>
      </c>
    </row>
    <row r="203" spans="4:6" s="65" customFormat="1" ht="12.75">
      <c r="D203" s="65" t="s">
        <v>192</v>
      </c>
      <c r="F203" s="65" t="s">
        <v>193</v>
      </c>
    </row>
    <row r="204" spans="4:11" s="65" customFormat="1" ht="12.75">
      <c r="D204" s="65" t="s">
        <v>158</v>
      </c>
      <c r="H204" s="65">
        <v>0.00999</v>
      </c>
      <c r="K204" s="69">
        <f>N167/1000*H204</f>
        <v>0</v>
      </c>
    </row>
    <row r="205" spans="4:11" s="65" customFormat="1" ht="12.75">
      <c r="D205" s="65" t="s">
        <v>196</v>
      </c>
      <c r="H205" s="65">
        <v>0.0111</v>
      </c>
      <c r="K205" s="69">
        <f>N168/1000*H205</f>
        <v>0</v>
      </c>
    </row>
    <row r="206" spans="4:11" s="65" customFormat="1" ht="12.75">
      <c r="D206" s="65" t="s">
        <v>198</v>
      </c>
      <c r="H206" s="65">
        <v>0.01221</v>
      </c>
      <c r="I206" s="65">
        <v>0</v>
      </c>
      <c r="K206" s="69">
        <f>N169/1000*H206</f>
        <v>0.058026804</v>
      </c>
    </row>
    <row r="207" s="65" customFormat="1" ht="12.75">
      <c r="I207" s="65">
        <v>0</v>
      </c>
    </row>
    <row r="208" spans="5:9" s="65" customFormat="1" ht="12.75">
      <c r="E208" s="65" t="s">
        <v>201</v>
      </c>
      <c r="G208" s="65">
        <v>0</v>
      </c>
      <c r="I208" s="65">
        <v>0</v>
      </c>
    </row>
    <row r="209" spans="1:6" s="65" customFormat="1" ht="12.75">
      <c r="A209" s="65" t="s">
        <v>212</v>
      </c>
      <c r="B209" s="65" t="s">
        <v>213</v>
      </c>
      <c r="D209" s="65" t="s">
        <v>203</v>
      </c>
      <c r="F209" s="65" t="s">
        <v>193</v>
      </c>
    </row>
    <row r="210" spans="2:6" s="65" customFormat="1" ht="12.75">
      <c r="B210" s="65" t="s">
        <v>214</v>
      </c>
      <c r="D210" s="65" t="s">
        <v>209</v>
      </c>
      <c r="F210" s="65" t="s">
        <v>215</v>
      </c>
    </row>
    <row r="211" spans="4:6" s="65" customFormat="1" ht="12.75">
      <c r="D211" s="65" t="s">
        <v>191</v>
      </c>
      <c r="F211" s="65" t="s">
        <v>216</v>
      </c>
    </row>
    <row r="212" spans="4:11" s="65" customFormat="1" ht="12.75">
      <c r="D212" s="65" t="s">
        <v>158</v>
      </c>
      <c r="H212" s="65">
        <v>0.018432</v>
      </c>
      <c r="I212" s="65">
        <v>0</v>
      </c>
      <c r="K212" s="65">
        <f>N182/1000*H212</f>
        <v>0</v>
      </c>
    </row>
    <row r="213" spans="4:11" s="65" customFormat="1" ht="12.75">
      <c r="D213" s="65" t="s">
        <v>196</v>
      </c>
      <c r="H213" s="65">
        <v>0.02048</v>
      </c>
      <c r="I213" s="65">
        <v>0</v>
      </c>
      <c r="K213" s="65">
        <f>N183/1000*H213</f>
        <v>0</v>
      </c>
    </row>
    <row r="214" spans="4:11" s="65" customFormat="1" ht="12.75">
      <c r="D214" s="65" t="s">
        <v>198</v>
      </c>
      <c r="K214" s="65">
        <f>N184/1000*H214</f>
        <v>0</v>
      </c>
    </row>
    <row r="215" s="65" customFormat="1" ht="12.75">
      <c r="D215" s="65" t="s">
        <v>211</v>
      </c>
    </row>
    <row r="216" s="65" customFormat="1" ht="12.75">
      <c r="D216" s="65" t="s">
        <v>191</v>
      </c>
    </row>
    <row r="217" s="65" customFormat="1" ht="12.75">
      <c r="D217" s="65" t="s">
        <v>192</v>
      </c>
    </row>
    <row r="218" spans="4:11" s="65" customFormat="1" ht="12.75">
      <c r="D218" s="65" t="s">
        <v>158</v>
      </c>
      <c r="K218" s="69">
        <f>N167/1000*H218</f>
        <v>0</v>
      </c>
    </row>
    <row r="219" spans="4:11" s="65" customFormat="1" ht="12.75">
      <c r="D219" s="65" t="s">
        <v>196</v>
      </c>
      <c r="H219" s="65">
        <v>0.02295</v>
      </c>
      <c r="I219" s="65">
        <v>0</v>
      </c>
      <c r="K219" s="69">
        <f>N168/1000*H219</f>
        <v>0</v>
      </c>
    </row>
    <row r="220" spans="4:11" s="65" customFormat="1" ht="12.75">
      <c r="D220" s="65" t="s">
        <v>198</v>
      </c>
      <c r="H220" s="65">
        <v>0.025245</v>
      </c>
      <c r="I220" s="65">
        <v>0</v>
      </c>
      <c r="K220" s="69">
        <f>N169/1000*H220</f>
        <v>0.119974338</v>
      </c>
    </row>
    <row r="221" spans="5:11" s="65" customFormat="1" ht="12.75">
      <c r="E221" s="65" t="s">
        <v>201</v>
      </c>
      <c r="G221" s="65">
        <v>0</v>
      </c>
      <c r="I221" s="65">
        <v>0</v>
      </c>
      <c r="K221" s="69"/>
    </row>
    <row r="222" s="65" customFormat="1" ht="12.75">
      <c r="K222" s="69"/>
    </row>
    <row r="223" spans="1:11" s="65" customFormat="1" ht="12.75">
      <c r="A223" s="65" t="s">
        <v>217</v>
      </c>
      <c r="B223" s="65" t="s">
        <v>218</v>
      </c>
      <c r="D223" s="65" t="s">
        <v>203</v>
      </c>
      <c r="K223" s="69"/>
    </row>
    <row r="224" spans="4:11" s="65" customFormat="1" ht="12.75">
      <c r="D224" s="65" t="s">
        <v>209</v>
      </c>
      <c r="K224" s="69"/>
    </row>
    <row r="225" spans="4:11" s="65" customFormat="1" ht="12.75">
      <c r="D225" s="65" t="s">
        <v>191</v>
      </c>
      <c r="K225" s="69"/>
    </row>
    <row r="226" spans="4:11" s="65" customFormat="1" ht="12.75">
      <c r="D226" s="65" t="s">
        <v>158</v>
      </c>
      <c r="H226" s="65">
        <v>0.027585</v>
      </c>
      <c r="I226" s="65">
        <v>0</v>
      </c>
      <c r="K226" s="69">
        <f>N182/1000*H226</f>
        <v>0</v>
      </c>
    </row>
    <row r="227" spans="4:11" s="65" customFormat="1" ht="12.75">
      <c r="D227" s="65" t="s">
        <v>196</v>
      </c>
      <c r="H227" s="65">
        <v>0.3065</v>
      </c>
      <c r="I227" s="65">
        <v>0</v>
      </c>
      <c r="K227" s="69">
        <f>N183/1000*H227</f>
        <v>0</v>
      </c>
    </row>
    <row r="228" spans="4:11" s="65" customFormat="1" ht="12.75">
      <c r="D228" s="65" t="s">
        <v>198</v>
      </c>
      <c r="K228" s="69">
        <f>N184/1000*H228</f>
        <v>0</v>
      </c>
    </row>
    <row r="229" spans="4:11" s="65" customFormat="1" ht="12.75">
      <c r="D229" s="65" t="s">
        <v>211</v>
      </c>
      <c r="K229" s="69"/>
    </row>
    <row r="230" spans="4:11" s="65" customFormat="1" ht="12.75">
      <c r="D230" s="65" t="s">
        <v>191</v>
      </c>
      <c r="K230" s="69"/>
    </row>
    <row r="231" spans="4:11" s="65" customFormat="1" ht="12.75">
      <c r="D231" s="65" t="s">
        <v>192</v>
      </c>
      <c r="K231" s="69"/>
    </row>
    <row r="232" spans="4:11" s="65" customFormat="1" ht="12.75">
      <c r="D232" s="65" t="s">
        <v>158</v>
      </c>
      <c r="K232" s="69">
        <f>N167/1000*H232</f>
        <v>0</v>
      </c>
    </row>
    <row r="233" spans="4:11" s="65" customFormat="1" ht="12.75">
      <c r="D233" s="65" t="s">
        <v>196</v>
      </c>
      <c r="H233" s="65">
        <v>0.00539</v>
      </c>
      <c r="I233" s="65">
        <v>0</v>
      </c>
      <c r="K233" s="69">
        <f>N168/1000*H233</f>
        <v>0</v>
      </c>
    </row>
    <row r="234" spans="4:11" s="65" customFormat="1" ht="12.75">
      <c r="D234" s="65" t="s">
        <v>198</v>
      </c>
      <c r="H234" s="65">
        <v>0.005929</v>
      </c>
      <c r="I234" s="65">
        <v>0</v>
      </c>
      <c r="K234" s="69">
        <f>N169/1000*H234</f>
        <v>0.0281769796</v>
      </c>
    </row>
    <row r="235" spans="5:11" s="65" customFormat="1" ht="12.75">
      <c r="E235" s="65" t="s">
        <v>201</v>
      </c>
      <c r="G235" s="65">
        <v>0</v>
      </c>
      <c r="I235" s="65">
        <v>0</v>
      </c>
      <c r="K235" s="69"/>
    </row>
    <row r="236" s="65" customFormat="1" ht="12.75">
      <c r="K236" s="69"/>
    </row>
    <row r="237" spans="1:11" s="65" customFormat="1" ht="12.75">
      <c r="A237" s="65" t="s">
        <v>219</v>
      </c>
      <c r="B237" s="65" t="s">
        <v>220</v>
      </c>
      <c r="D237" s="65" t="s">
        <v>203</v>
      </c>
      <c r="K237" s="69"/>
    </row>
    <row r="238" spans="2:11" s="65" customFormat="1" ht="12.75">
      <c r="B238" s="65" t="s">
        <v>214</v>
      </c>
      <c r="D238" s="65" t="s">
        <v>209</v>
      </c>
      <c r="K238" s="69"/>
    </row>
    <row r="239" spans="4:11" s="65" customFormat="1" ht="12.75">
      <c r="D239" s="65" t="s">
        <v>191</v>
      </c>
      <c r="K239" s="69"/>
    </row>
    <row r="240" spans="4:11" s="65" customFormat="1" ht="12.75">
      <c r="D240" s="65" t="s">
        <v>158</v>
      </c>
      <c r="H240" s="65">
        <v>0.022437</v>
      </c>
      <c r="I240" s="65">
        <v>0</v>
      </c>
      <c r="K240" s="69">
        <f>N182/1000*H240</f>
        <v>0</v>
      </c>
    </row>
    <row r="241" spans="4:11" s="65" customFormat="1" ht="12.75">
      <c r="D241" s="65" t="s">
        <v>196</v>
      </c>
      <c r="H241" s="65">
        <v>0.02493</v>
      </c>
      <c r="I241" s="65">
        <v>0</v>
      </c>
      <c r="K241" s="69">
        <f>N183/1000*H241</f>
        <v>0</v>
      </c>
    </row>
    <row r="242" spans="4:11" s="65" customFormat="1" ht="12.75">
      <c r="D242" s="65" t="s">
        <v>198</v>
      </c>
      <c r="K242" s="65">
        <f>N184/1000*H242</f>
        <v>0</v>
      </c>
    </row>
    <row r="243" s="65" customFormat="1" ht="12.75">
      <c r="D243" s="65" t="s">
        <v>211</v>
      </c>
    </row>
    <row r="244" s="65" customFormat="1" ht="12.75">
      <c r="D244" s="65" t="s">
        <v>191</v>
      </c>
    </row>
    <row r="245" s="65" customFormat="1" ht="12.75">
      <c r="D245" s="65" t="s">
        <v>192</v>
      </c>
    </row>
    <row r="246" spans="4:11" s="65" customFormat="1" ht="12.75">
      <c r="D246" s="65" t="s">
        <v>158</v>
      </c>
      <c r="K246" s="69">
        <f>N167/1000*H246</f>
        <v>0</v>
      </c>
    </row>
    <row r="247" spans="4:11" s="65" customFormat="1" ht="12.75">
      <c r="D247" s="65" t="s">
        <v>196</v>
      </c>
      <c r="H247" s="65">
        <v>0.00888</v>
      </c>
      <c r="I247" s="65">
        <v>0</v>
      </c>
      <c r="K247" s="69">
        <f>N168/1000*H247</f>
        <v>0</v>
      </c>
    </row>
    <row r="248" spans="4:11" s="65" customFormat="1" ht="12.75">
      <c r="D248" s="65" t="s">
        <v>198</v>
      </c>
      <c r="H248" s="65">
        <v>0.009768</v>
      </c>
      <c r="I248" s="65">
        <v>0</v>
      </c>
      <c r="K248" s="69">
        <f>N169/1000*H248</f>
        <v>0.0464214432</v>
      </c>
    </row>
    <row r="249" spans="5:11" s="65" customFormat="1" ht="12.75">
      <c r="E249" s="65" t="s">
        <v>201</v>
      </c>
      <c r="G249" s="65">
        <v>0</v>
      </c>
      <c r="I249" s="65">
        <v>0</v>
      </c>
      <c r="K249" s="69"/>
    </row>
    <row r="250" s="65" customFormat="1" ht="12.75">
      <c r="K250" s="69"/>
    </row>
    <row r="251" spans="2:4" s="65" customFormat="1" ht="12.75">
      <c r="B251" s="65" t="s">
        <v>221</v>
      </c>
      <c r="D251" s="65" t="s">
        <v>203</v>
      </c>
    </row>
    <row r="252" s="65" customFormat="1" ht="12.75">
      <c r="D252" s="65" t="s">
        <v>204</v>
      </c>
    </row>
    <row r="253" s="65" customFormat="1" ht="12.75">
      <c r="D253" s="65" t="s">
        <v>205</v>
      </c>
    </row>
    <row r="254" s="65" customFormat="1" ht="12.75">
      <c r="D254" s="65" t="s">
        <v>191</v>
      </c>
    </row>
    <row r="255" spans="4:11" s="65" customFormat="1" ht="12.75">
      <c r="D255" s="65" t="s">
        <v>158</v>
      </c>
      <c r="H255" s="65">
        <v>0.0243</v>
      </c>
      <c r="K255" s="69">
        <f>N195/1000*H255</f>
        <v>0</v>
      </c>
    </row>
    <row r="256" spans="4:11" s="65" customFormat="1" ht="12.75">
      <c r="D256" s="65" t="s">
        <v>196</v>
      </c>
      <c r="H256" s="65">
        <v>0.027</v>
      </c>
      <c r="K256" s="69">
        <f>N196/1000*H256</f>
        <v>0</v>
      </c>
    </row>
    <row r="257" spans="4:11" s="65" customFormat="1" ht="12.75">
      <c r="D257" s="65" t="s">
        <v>198</v>
      </c>
      <c r="H257" s="65">
        <v>0.0297</v>
      </c>
      <c r="K257" s="69">
        <f>N197/1000*H257</f>
        <v>0.14114627999999999</v>
      </c>
    </row>
    <row r="258" spans="1:11" s="65" customFormat="1" ht="12.75">
      <c r="A258" s="65" t="s">
        <v>222</v>
      </c>
      <c r="B258" s="65" t="s">
        <v>223</v>
      </c>
      <c r="D258" s="65" t="s">
        <v>203</v>
      </c>
      <c r="K258" s="69"/>
    </row>
    <row r="259" spans="4:11" s="65" customFormat="1" ht="12.75">
      <c r="D259" s="65" t="s">
        <v>209</v>
      </c>
      <c r="K259" s="69"/>
    </row>
    <row r="260" spans="4:11" s="65" customFormat="1" ht="12.75">
      <c r="D260" s="65" t="s">
        <v>191</v>
      </c>
      <c r="K260" s="69"/>
    </row>
    <row r="261" spans="4:11" s="65" customFormat="1" ht="12.75">
      <c r="D261" s="65" t="s">
        <v>158</v>
      </c>
      <c r="H261" s="65">
        <v>0.01773</v>
      </c>
      <c r="I261" s="65">
        <v>0</v>
      </c>
      <c r="K261" s="69">
        <f>N182/1000*H261</f>
        <v>0</v>
      </c>
    </row>
    <row r="262" spans="4:11" s="65" customFormat="1" ht="12.75">
      <c r="D262" s="65" t="s">
        <v>196</v>
      </c>
      <c r="H262" s="65">
        <v>0.0197</v>
      </c>
      <c r="I262" s="65">
        <v>0</v>
      </c>
      <c r="K262" s="69">
        <f>N183/1000*H262</f>
        <v>0</v>
      </c>
    </row>
    <row r="263" spans="4:11" s="65" customFormat="1" ht="12.75">
      <c r="D263" s="65" t="s">
        <v>198</v>
      </c>
      <c r="K263" s="69">
        <f>N184/1000*H263</f>
        <v>0</v>
      </c>
    </row>
    <row r="264" spans="4:11" s="65" customFormat="1" ht="12.75">
      <c r="D264" s="65" t="s">
        <v>211</v>
      </c>
      <c r="K264" s="69"/>
    </row>
    <row r="265" spans="4:11" s="65" customFormat="1" ht="12.75">
      <c r="D265" s="65" t="s">
        <v>191</v>
      </c>
      <c r="K265" s="69"/>
    </row>
    <row r="266" spans="4:11" s="65" customFormat="1" ht="12.75">
      <c r="D266" s="65" t="s">
        <v>192</v>
      </c>
      <c r="K266" s="69"/>
    </row>
    <row r="267" spans="4:11" s="65" customFormat="1" ht="12.75">
      <c r="D267" s="65" t="s">
        <v>158</v>
      </c>
      <c r="K267" s="69">
        <f>N167/1000*H267</f>
        <v>0</v>
      </c>
    </row>
    <row r="268" spans="4:11" s="65" customFormat="1" ht="12.75">
      <c r="D268" s="65" t="s">
        <v>196</v>
      </c>
      <c r="H268" s="65">
        <v>0.0018</v>
      </c>
      <c r="I268" s="65">
        <v>0</v>
      </c>
      <c r="K268" s="69">
        <f>N168/1000*H268</f>
        <v>0</v>
      </c>
    </row>
    <row r="269" spans="4:11" s="65" customFormat="1" ht="12.75">
      <c r="D269" s="65" t="s">
        <v>198</v>
      </c>
      <c r="H269" s="65">
        <v>0.00198</v>
      </c>
      <c r="I269" s="65">
        <v>0</v>
      </c>
      <c r="K269" s="69">
        <f>N169/1000*H269</f>
        <v>0.009409751999999999</v>
      </c>
    </row>
    <row r="270" spans="5:11" s="65" customFormat="1" ht="12.75">
      <c r="E270" s="65" t="s">
        <v>201</v>
      </c>
      <c r="G270" s="65">
        <v>0</v>
      </c>
      <c r="I270" s="65">
        <v>0</v>
      </c>
      <c r="K270" s="69"/>
    </row>
    <row r="271" s="65" customFormat="1" ht="12.75">
      <c r="K271" s="69"/>
    </row>
    <row r="272" spans="2:7" s="65" customFormat="1" ht="12.75">
      <c r="B272" s="65" t="s">
        <v>224</v>
      </c>
      <c r="D272" s="65" t="s">
        <v>203</v>
      </c>
      <c r="G272" s="65" t="s">
        <v>225</v>
      </c>
    </row>
    <row r="273" spans="4:7" s="65" customFormat="1" ht="12.75">
      <c r="D273" s="65" t="s">
        <v>204</v>
      </c>
      <c r="G273" s="65" t="s">
        <v>226</v>
      </c>
    </row>
    <row r="274" spans="4:7" s="65" customFormat="1" ht="12.75">
      <c r="D274" s="65" t="s">
        <v>205</v>
      </c>
      <c r="G274" s="65" t="s">
        <v>227</v>
      </c>
    </row>
    <row r="275" s="65" customFormat="1" ht="12.75">
      <c r="D275" s="65" t="s">
        <v>191</v>
      </c>
    </row>
    <row r="276" spans="4:11" s="65" customFormat="1" ht="12.75">
      <c r="D276" s="65" t="s">
        <v>158</v>
      </c>
      <c r="H276" s="65">
        <v>0.02367</v>
      </c>
      <c r="K276" s="69">
        <f>N177/1000*H276</f>
        <v>0</v>
      </c>
    </row>
    <row r="277" spans="4:11" s="65" customFormat="1" ht="12.75">
      <c r="D277" s="65" t="s">
        <v>196</v>
      </c>
      <c r="H277" s="65">
        <v>0.0263</v>
      </c>
      <c r="K277" s="69">
        <f>N178/1000*H277</f>
        <v>0</v>
      </c>
    </row>
    <row r="278" spans="4:11" s="65" customFormat="1" ht="12.75">
      <c r="D278" s="65" t="s">
        <v>198</v>
      </c>
      <c r="H278" s="65">
        <v>0.02893</v>
      </c>
      <c r="K278" s="69">
        <f>N179/1000*H278</f>
        <v>0.036720849</v>
      </c>
    </row>
    <row r="279" s="65" customFormat="1" ht="12.75">
      <c r="K279" s="69"/>
    </row>
    <row r="280" spans="1:11" s="65" customFormat="1" ht="12.75">
      <c r="A280" s="65" t="s">
        <v>228</v>
      </c>
      <c r="B280" s="65" t="s">
        <v>229</v>
      </c>
      <c r="D280" s="65" t="s">
        <v>203</v>
      </c>
      <c r="K280" s="69"/>
    </row>
    <row r="281" spans="2:11" s="65" customFormat="1" ht="12.75">
      <c r="B281" s="65" t="s">
        <v>230</v>
      </c>
      <c r="D281" s="65" t="s">
        <v>209</v>
      </c>
      <c r="K281" s="69"/>
    </row>
    <row r="282" spans="4:11" s="65" customFormat="1" ht="12.75">
      <c r="D282" s="65" t="s">
        <v>191</v>
      </c>
      <c r="K282" s="69"/>
    </row>
    <row r="283" spans="4:11" s="65" customFormat="1" ht="12.75">
      <c r="D283" s="65" t="s">
        <v>158</v>
      </c>
      <c r="H283" s="65">
        <v>0.014679</v>
      </c>
      <c r="I283" s="65">
        <v>0</v>
      </c>
      <c r="K283" s="69">
        <f>N182/1000*H283</f>
        <v>0</v>
      </c>
    </row>
    <row r="284" spans="4:11" s="65" customFormat="1" ht="12.75">
      <c r="D284" s="65" t="s">
        <v>196</v>
      </c>
      <c r="H284" s="65">
        <v>0.01631</v>
      </c>
      <c r="I284" s="65">
        <v>0</v>
      </c>
      <c r="K284" s="69">
        <f>N183/1000*H284</f>
        <v>0</v>
      </c>
    </row>
    <row r="285" spans="4:11" s="65" customFormat="1" ht="12.75">
      <c r="D285" s="65" t="s">
        <v>198</v>
      </c>
      <c r="K285" s="69">
        <f>N184/1000*H285</f>
        <v>0</v>
      </c>
    </row>
    <row r="286" spans="4:11" s="65" customFormat="1" ht="12.75">
      <c r="D286" s="65" t="s">
        <v>211</v>
      </c>
      <c r="K286" s="69"/>
    </row>
    <row r="287" spans="4:11" s="65" customFormat="1" ht="12.75">
      <c r="D287" s="65" t="s">
        <v>191</v>
      </c>
      <c r="K287" s="69"/>
    </row>
    <row r="288" spans="4:11" s="65" customFormat="1" ht="12.75">
      <c r="D288" s="65" t="s">
        <v>192</v>
      </c>
      <c r="K288" s="69"/>
    </row>
    <row r="289" spans="4:11" s="65" customFormat="1" ht="12.75">
      <c r="D289" s="65" t="s">
        <v>158</v>
      </c>
      <c r="K289" s="69">
        <f>N167/1000*H289</f>
        <v>0</v>
      </c>
    </row>
    <row r="290" spans="4:11" s="65" customFormat="1" ht="12.75">
      <c r="D290" s="65" t="s">
        <v>196</v>
      </c>
      <c r="H290" s="65">
        <v>0.01631</v>
      </c>
      <c r="I290" s="65">
        <v>0</v>
      </c>
      <c r="K290" s="69">
        <f>N168/1000*H290</f>
        <v>0</v>
      </c>
    </row>
    <row r="291" spans="4:11" s="65" customFormat="1" ht="12.75">
      <c r="D291" s="65" t="s">
        <v>198</v>
      </c>
      <c r="H291" s="65">
        <v>0.017941</v>
      </c>
      <c r="I291" s="65">
        <v>0</v>
      </c>
      <c r="K291" s="69">
        <f>N169/1000*H291</f>
        <v>0.08526280839999999</v>
      </c>
    </row>
    <row r="292" spans="5:11" s="65" customFormat="1" ht="12.75">
      <c r="E292" s="65" t="s">
        <v>201</v>
      </c>
      <c r="G292" s="65">
        <v>0</v>
      </c>
      <c r="I292" s="65">
        <v>0</v>
      </c>
      <c r="K292" s="69"/>
    </row>
    <row r="293" s="65" customFormat="1" ht="12.75">
      <c r="K293" s="69"/>
    </row>
    <row r="294" spans="1:11" s="65" customFormat="1" ht="12.75">
      <c r="A294" s="65" t="s">
        <v>231</v>
      </c>
      <c r="B294" s="65" t="s">
        <v>232</v>
      </c>
      <c r="D294" s="65" t="s">
        <v>203</v>
      </c>
      <c r="K294" s="69"/>
    </row>
    <row r="295" spans="2:11" s="65" customFormat="1" ht="12.75">
      <c r="B295" s="65" t="s">
        <v>233</v>
      </c>
      <c r="D295" s="65" t="s">
        <v>211</v>
      </c>
      <c r="K295" s="69"/>
    </row>
    <row r="296" spans="4:11" s="65" customFormat="1" ht="12.75">
      <c r="D296" s="65" t="s">
        <v>209</v>
      </c>
      <c r="K296" s="69"/>
    </row>
    <row r="297" spans="4:11" s="65" customFormat="1" ht="12.75">
      <c r="D297" s="65" t="s">
        <v>234</v>
      </c>
      <c r="K297" s="69"/>
    </row>
    <row r="298" spans="4:11" s="65" customFormat="1" ht="12.75">
      <c r="D298" s="65" t="s">
        <v>235</v>
      </c>
      <c r="F298" s="65" t="s">
        <v>236</v>
      </c>
      <c r="K298" s="69"/>
    </row>
    <row r="299" spans="4:11" s="65" customFormat="1" ht="12.75">
      <c r="D299" s="65" t="s">
        <v>191</v>
      </c>
      <c r="F299" s="65" t="s">
        <v>237</v>
      </c>
      <c r="K299" s="69"/>
    </row>
    <row r="300" spans="4:11" s="65" customFormat="1" ht="12.75">
      <c r="D300" s="65" t="s">
        <v>158</v>
      </c>
      <c r="H300" s="65">
        <v>41000</v>
      </c>
      <c r="I300" s="65">
        <v>0</v>
      </c>
      <c r="K300" s="69">
        <f>N195/H300</f>
        <v>0</v>
      </c>
    </row>
    <row r="301" spans="4:11" s="65" customFormat="1" ht="12.75">
      <c r="D301" s="65" t="s">
        <v>196</v>
      </c>
      <c r="H301" s="65">
        <v>39000</v>
      </c>
      <c r="I301" s="65">
        <v>0</v>
      </c>
      <c r="K301" s="69">
        <f>N196/H301</f>
        <v>0</v>
      </c>
    </row>
    <row r="302" spans="4:11" s="65" customFormat="1" ht="12.75">
      <c r="D302" s="65" t="s">
        <v>198</v>
      </c>
      <c r="H302" s="65">
        <v>37000</v>
      </c>
      <c r="I302" s="65">
        <v>0</v>
      </c>
      <c r="K302" s="69">
        <f>N197/H302</f>
        <v>0.12844324324324324</v>
      </c>
    </row>
    <row r="303" s="65" customFormat="1" ht="12.75">
      <c r="K303" s="69"/>
    </row>
    <row r="304" spans="4:11" s="65" customFormat="1" ht="12.75">
      <c r="D304" s="65" t="s">
        <v>238</v>
      </c>
      <c r="K304" s="69"/>
    </row>
    <row r="305" spans="4:11" s="65" customFormat="1" ht="12.75">
      <c r="D305" s="65" t="s">
        <v>239</v>
      </c>
      <c r="F305" s="65" t="s">
        <v>240</v>
      </c>
      <c r="K305" s="69"/>
    </row>
    <row r="306" spans="4:11" s="65" customFormat="1" ht="12.75">
      <c r="D306" s="65" t="s">
        <v>191</v>
      </c>
      <c r="K306" s="69"/>
    </row>
    <row r="307" spans="4:11" s="65" customFormat="1" ht="12.75">
      <c r="D307" s="65" t="s">
        <v>158</v>
      </c>
      <c r="H307" s="65">
        <v>450</v>
      </c>
      <c r="I307" s="65">
        <v>0</v>
      </c>
      <c r="K307" s="69">
        <f>N200/H307</f>
        <v>0</v>
      </c>
    </row>
    <row r="308" spans="4:11" s="65" customFormat="1" ht="12.75">
      <c r="D308" s="65" t="s">
        <v>196</v>
      </c>
      <c r="H308" s="65">
        <v>375</v>
      </c>
      <c r="I308" s="65">
        <v>0</v>
      </c>
      <c r="K308" s="69">
        <f>N201/H308</f>
        <v>0</v>
      </c>
    </row>
    <row r="309" spans="4:11" s="65" customFormat="1" ht="12.75">
      <c r="D309" s="65" t="s">
        <v>198</v>
      </c>
      <c r="H309" s="65">
        <v>310</v>
      </c>
      <c r="I309" s="65">
        <v>0</v>
      </c>
      <c r="K309" s="69">
        <f>N202/H309</f>
        <v>0.3064516129032258</v>
      </c>
    </row>
    <row r="310" spans="5:11" s="65" customFormat="1" ht="12.75">
      <c r="E310" s="65" t="s">
        <v>201</v>
      </c>
      <c r="G310" s="65">
        <v>0</v>
      </c>
      <c r="I310" s="65">
        <v>0</v>
      </c>
      <c r="K310" s="69"/>
    </row>
    <row r="311" s="65" customFormat="1" ht="12.75">
      <c r="K311" s="69"/>
    </row>
    <row r="312" spans="1:11" s="65" customFormat="1" ht="12.75">
      <c r="A312" s="65" t="s">
        <v>241</v>
      </c>
      <c r="B312" s="65" t="s">
        <v>242</v>
      </c>
      <c r="D312" s="65" t="s">
        <v>243</v>
      </c>
      <c r="K312" s="69"/>
    </row>
    <row r="313" spans="4:11" s="65" customFormat="1" ht="12.75">
      <c r="D313" s="65" t="s">
        <v>244</v>
      </c>
      <c r="F313" s="65" t="s">
        <v>240</v>
      </c>
      <c r="K313" s="69"/>
    </row>
    <row r="314" spans="4:11" s="65" customFormat="1" ht="12.75">
      <c r="D314" s="65" t="s">
        <v>245</v>
      </c>
      <c r="K314" s="69"/>
    </row>
    <row r="315" spans="4:11" s="65" customFormat="1" ht="12.75">
      <c r="D315" s="65" t="s">
        <v>158</v>
      </c>
      <c r="H315" s="65">
        <v>2350</v>
      </c>
      <c r="I315" s="65">
        <v>0</v>
      </c>
      <c r="K315" s="69">
        <f>N200/H315</f>
        <v>0</v>
      </c>
    </row>
    <row r="316" spans="4:11" s="65" customFormat="1" ht="12.75">
      <c r="D316" s="65" t="s">
        <v>196</v>
      </c>
      <c r="H316" s="65">
        <v>2250</v>
      </c>
      <c r="I316" s="65">
        <v>0</v>
      </c>
      <c r="K316" s="69">
        <f>N201/H316</f>
        <v>0</v>
      </c>
    </row>
    <row r="317" spans="4:11" s="65" customFormat="1" ht="12.75">
      <c r="D317" s="65" t="s">
        <v>198</v>
      </c>
      <c r="H317" s="65">
        <v>2200</v>
      </c>
      <c r="I317" s="65">
        <v>0</v>
      </c>
      <c r="K317" s="69">
        <f>N202/H317</f>
        <v>0.04318181818181818</v>
      </c>
    </row>
    <row r="318" spans="5:11" s="65" customFormat="1" ht="12.75">
      <c r="E318" s="65" t="s">
        <v>201</v>
      </c>
      <c r="G318" s="65">
        <v>0</v>
      </c>
      <c r="I318" s="65">
        <v>0</v>
      </c>
      <c r="K318" s="69"/>
    </row>
    <row r="319" s="65" customFormat="1" ht="12.75">
      <c r="K319" s="69">
        <f>K181+K182+K183+K191+K192+K193+K198+K199+K200+K204+K205+K206+K212+K213+K214+K218+K219+K220+K226+K227+K228+K232+K233+K234+K240+K241+K242+K246+K247+K248+K255+K256+K257+K261+K262+K263+K267+K268+K269+K276+K277+K278+K283+K284+K285+K289+K290+K291+K300+K301+K302+K307+K308+K309+K315+K316+K317</f>
        <v>1.1560066045282873</v>
      </c>
    </row>
    <row r="320" spans="1:11" s="65" customFormat="1" ht="12.75">
      <c r="A320" s="65" t="s">
        <v>246</v>
      </c>
      <c r="B320" s="65" t="s">
        <v>247</v>
      </c>
      <c r="F320" s="65" t="s">
        <v>248</v>
      </c>
      <c r="I320" s="65">
        <v>1</v>
      </c>
      <c r="K320" s="69">
        <f>K319*1.12</f>
        <v>1.294727397071682</v>
      </c>
    </row>
    <row r="321" s="65" customFormat="1" ht="12.75">
      <c r="B321" s="65" t="s">
        <v>249</v>
      </c>
    </row>
    <row r="322" s="65" customFormat="1" ht="12.75">
      <c r="B322" s="65" t="s">
        <v>250</v>
      </c>
    </row>
    <row r="323" s="65" customFormat="1" ht="12.75"/>
    <row r="324" spans="1:9" s="65" customFormat="1" ht="12.75">
      <c r="A324" s="65" t="s">
        <v>251</v>
      </c>
      <c r="B324" s="65" t="s">
        <v>252</v>
      </c>
      <c r="I324" s="65">
        <v>2</v>
      </c>
    </row>
    <row r="325" spans="1:9" s="65" customFormat="1" ht="12.75">
      <c r="A325" s="65" t="s">
        <v>253</v>
      </c>
      <c r="B325" s="65" t="s">
        <v>254</v>
      </c>
      <c r="I325" s="65">
        <v>1</v>
      </c>
    </row>
    <row r="326" spans="1:9" s="65" customFormat="1" ht="12.75">
      <c r="A326" s="65" t="s">
        <v>255</v>
      </c>
      <c r="B326" s="65" t="s">
        <v>256</v>
      </c>
      <c r="I326" s="65">
        <v>1</v>
      </c>
    </row>
    <row r="327" spans="2:9" s="65" customFormat="1" ht="12.75">
      <c r="B327" s="65" t="s">
        <v>257</v>
      </c>
      <c r="I327" s="65">
        <v>5</v>
      </c>
    </row>
    <row r="328" s="65" customFormat="1" ht="12.75">
      <c r="F328" s="65" t="s">
        <v>258</v>
      </c>
    </row>
    <row r="329" spans="1:9" s="65" customFormat="1" ht="12.75">
      <c r="A329" s="65" t="s">
        <v>259</v>
      </c>
      <c r="B329" s="65" t="s">
        <v>260</v>
      </c>
      <c r="E329" s="65" t="s">
        <v>261</v>
      </c>
      <c r="G329" s="65">
        <v>542</v>
      </c>
      <c r="H329" s="65">
        <v>1200</v>
      </c>
      <c r="I329" s="65">
        <f>G329/H329</f>
        <v>0.45166666666666666</v>
      </c>
    </row>
    <row r="330" spans="5:9" s="65" customFormat="1" ht="12.75">
      <c r="E330" s="65" t="s">
        <v>262</v>
      </c>
      <c r="H330" s="65">
        <v>1650</v>
      </c>
      <c r="I330" s="69">
        <f>G330/H330</f>
        <v>0</v>
      </c>
    </row>
    <row r="331" spans="5:9" s="65" customFormat="1" ht="12.75">
      <c r="E331" s="65" t="s">
        <v>263</v>
      </c>
      <c r="G331" s="65">
        <v>5612</v>
      </c>
      <c r="H331" s="65">
        <v>9000</v>
      </c>
      <c r="I331" s="69">
        <f>G331/H331</f>
        <v>0.6235555555555555</v>
      </c>
    </row>
    <row r="332" spans="3:9" s="65" customFormat="1" ht="12.75">
      <c r="C332" s="65" t="s">
        <v>201</v>
      </c>
      <c r="G332" s="65">
        <f>G330+G331</f>
        <v>5612</v>
      </c>
      <c r="I332" s="69">
        <f>I329+I330+I331</f>
        <v>1.075222222222222</v>
      </c>
    </row>
    <row r="333" s="65" customFormat="1" ht="12.75">
      <c r="F333" s="65" t="s">
        <v>258</v>
      </c>
    </row>
    <row r="334" spans="1:9" s="65" customFormat="1" ht="12.75">
      <c r="A334" s="65" t="s">
        <v>264</v>
      </c>
      <c r="B334" s="65" t="s">
        <v>265</v>
      </c>
      <c r="E334" s="65" t="s">
        <v>266</v>
      </c>
      <c r="G334" s="65">
        <v>410.5</v>
      </c>
      <c r="H334" s="65">
        <v>800</v>
      </c>
      <c r="I334" s="69">
        <f>G334/H334</f>
        <v>0.513125</v>
      </c>
    </row>
    <row r="335" spans="2:9" s="65" customFormat="1" ht="12.75">
      <c r="B335" s="65" t="s">
        <v>267</v>
      </c>
      <c r="E335" s="65" t="s">
        <v>268</v>
      </c>
      <c r="H335" s="65">
        <v>960</v>
      </c>
      <c r="I335" s="69">
        <f>G335/H335</f>
        <v>0</v>
      </c>
    </row>
    <row r="336" s="65" customFormat="1" ht="12.75">
      <c r="E336" s="65" t="s">
        <v>269</v>
      </c>
    </row>
    <row r="337" spans="3:9" s="65" customFormat="1" ht="12.75">
      <c r="C337" s="65" t="s">
        <v>201</v>
      </c>
      <c r="G337" s="65">
        <f>G334+G335+G336</f>
        <v>410.5</v>
      </c>
      <c r="I337" s="69">
        <f>I334+I335</f>
        <v>0.513125</v>
      </c>
    </row>
    <row r="338" s="65" customFormat="1" ht="12.75">
      <c r="F338" s="65" t="s">
        <v>270</v>
      </c>
    </row>
    <row r="339" spans="1:9" s="65" customFormat="1" ht="12.75">
      <c r="A339" s="65" t="s">
        <v>271</v>
      </c>
      <c r="B339" s="65" t="s">
        <v>272</v>
      </c>
      <c r="E339" s="65" t="s">
        <v>273</v>
      </c>
      <c r="H339" s="65">
        <v>500</v>
      </c>
      <c r="I339" s="69">
        <f>G339/H339</f>
        <v>0</v>
      </c>
    </row>
    <row r="340" spans="5:9" s="65" customFormat="1" ht="12.75">
      <c r="E340" s="65" t="s">
        <v>274</v>
      </c>
      <c r="H340" s="65">
        <v>700</v>
      </c>
      <c r="I340" s="69">
        <f>G340/H340</f>
        <v>0</v>
      </c>
    </row>
    <row r="341" s="65" customFormat="1" ht="12.75">
      <c r="E341" s="65" t="s">
        <v>275</v>
      </c>
    </row>
    <row r="342" spans="3:9" s="65" customFormat="1" ht="12.75">
      <c r="C342" s="65" t="s">
        <v>201</v>
      </c>
      <c r="G342" s="65">
        <f>G339+G340</f>
        <v>0</v>
      </c>
      <c r="I342" s="69">
        <f>I339+I340</f>
        <v>0</v>
      </c>
    </row>
    <row r="343" spans="1:2" s="65" customFormat="1" ht="12.75">
      <c r="A343" s="65" t="s">
        <v>276</v>
      </c>
      <c r="B343" s="65" t="s">
        <v>277</v>
      </c>
    </row>
    <row r="344" spans="2:9" s="65" customFormat="1" ht="12.75">
      <c r="B344" s="65" t="s">
        <v>278</v>
      </c>
      <c r="I344" s="65">
        <v>2</v>
      </c>
    </row>
  </sheetData>
  <sheetProtection/>
  <mergeCells count="46">
    <mergeCell ref="A141:G141"/>
    <mergeCell ref="A145:E145"/>
    <mergeCell ref="A147:G147"/>
    <mergeCell ref="A151:D151"/>
    <mergeCell ref="A1:K1"/>
    <mergeCell ref="A2:K2"/>
    <mergeCell ref="C132:I132"/>
    <mergeCell ref="C97:D97"/>
    <mergeCell ref="A102:F102"/>
    <mergeCell ref="A104:G104"/>
    <mergeCell ref="A106:D106"/>
    <mergeCell ref="E106:G106"/>
    <mergeCell ref="A108:E108"/>
    <mergeCell ref="A80:G80"/>
    <mergeCell ref="A82:G82"/>
    <mergeCell ref="A86:D86"/>
    <mergeCell ref="A88:F88"/>
    <mergeCell ref="A92:E92"/>
    <mergeCell ref="A62:F62"/>
    <mergeCell ref="A68:F68"/>
    <mergeCell ref="A71:E71"/>
    <mergeCell ref="A74:G74"/>
    <mergeCell ref="A76:E76"/>
    <mergeCell ref="A78:G78"/>
    <mergeCell ref="A48:G48"/>
    <mergeCell ref="A50:G50"/>
    <mergeCell ref="A54:G54"/>
    <mergeCell ref="A56:G56"/>
    <mergeCell ref="A58:G58"/>
    <mergeCell ref="A60:F60"/>
    <mergeCell ref="A36:E36"/>
    <mergeCell ref="A38:G38"/>
    <mergeCell ref="A40:G40"/>
    <mergeCell ref="A42:G42"/>
    <mergeCell ref="A44:G44"/>
    <mergeCell ref="A46:G46"/>
    <mergeCell ref="A22:F22"/>
    <mergeCell ref="A24:F24"/>
    <mergeCell ref="A28:F28"/>
    <mergeCell ref="A30:G30"/>
    <mergeCell ref="A32:G32"/>
    <mergeCell ref="A34:G34"/>
    <mergeCell ref="A4:K4"/>
    <mergeCell ref="A5:K5"/>
    <mergeCell ref="A15:H15"/>
    <mergeCell ref="A17:G17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3:L14 M64 M80 M86 M96 L112:M112 H135:H137 H139 H141 K141 H147 H149 H151 H153 H155" evalError="1"/>
  </ignoredError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Q317"/>
  <sheetViews>
    <sheetView zoomScalePageLayoutView="0" workbookViewId="0" topLeftCell="A1">
      <selection activeCell="K122" sqref="K122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14062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7" width="9.140625" style="65" customWidth="1"/>
    <col min="18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839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4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65">
        <f>11.18*1.042</f>
        <v>11.64956</v>
      </c>
      <c r="N5" s="65">
        <f>M5*0.04</f>
        <v>0.46598239999999996</v>
      </c>
    </row>
    <row r="6" spans="1:14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65">
        <f>11.18*1.042</f>
        <v>11.64956</v>
      </c>
      <c r="N6" s="65">
        <f>M6*0.04</f>
        <v>0.46598239999999996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7" s="9" customFormat="1" ht="15.75">
      <c r="A11" s="11"/>
      <c r="B11" s="11"/>
      <c r="C11" s="12"/>
      <c r="D11" s="11"/>
      <c r="K11" s="5"/>
      <c r="L11" s="67"/>
      <c r="M11" s="67"/>
      <c r="N11" s="67"/>
      <c r="O11" s="67"/>
      <c r="P11" s="67"/>
      <c r="Q11" s="67"/>
    </row>
    <row r="12" spans="1:17" s="9" customFormat="1" ht="15.75">
      <c r="A12" s="11" t="s">
        <v>69</v>
      </c>
      <c r="B12" s="11"/>
      <c r="C12" s="12"/>
      <c r="D12" s="11"/>
      <c r="E12" s="9">
        <v>50517.817</v>
      </c>
      <c r="F12" s="9" t="s">
        <v>70</v>
      </c>
      <c r="H12" s="13"/>
      <c r="I12" s="13"/>
      <c r="K12" s="13"/>
      <c r="L12" s="67"/>
      <c r="M12" s="67"/>
      <c r="N12" s="67"/>
      <c r="O12" s="67"/>
      <c r="P12" s="67"/>
      <c r="Q12" s="67"/>
    </row>
    <row r="13" spans="1:17" s="9" customFormat="1" ht="15.75">
      <c r="A13" s="11"/>
      <c r="B13" s="11"/>
      <c r="C13" s="12"/>
      <c r="D13" s="11"/>
      <c r="H13" s="13"/>
      <c r="I13" s="13"/>
      <c r="K13" s="13"/>
      <c r="L13" s="67"/>
      <c r="M13" s="67"/>
      <c r="N13" s="67"/>
      <c r="O13" s="67"/>
      <c r="P13" s="67"/>
      <c r="Q13" s="67"/>
    </row>
    <row r="14" spans="3:17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  <c r="Q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K17+K32+K56+K72+K79+K89+K48</f>
        <v>57653.65199968949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H19+H20+H21+H23+H25+H26+H28+H29+H30</f>
        <v>12611.85698062875</v>
      </c>
      <c r="M17" s="65" t="s">
        <v>76</v>
      </c>
      <c r="O17" s="78">
        <f>I305</f>
        <v>1.1481616161616162</v>
      </c>
    </row>
    <row r="18" spans="1:15" ht="12.75">
      <c r="A18" s="22" t="s">
        <v>727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78">
        <f>I310</f>
        <v>1.0208333333333333</v>
      </c>
    </row>
    <row r="19" spans="1:15" ht="12.75">
      <c r="A19" s="113" t="s">
        <v>384</v>
      </c>
      <c r="B19" s="113"/>
      <c r="C19" s="113"/>
      <c r="D19" s="113"/>
      <c r="E19" s="113"/>
      <c r="F19" s="113"/>
      <c r="G19" s="22"/>
      <c r="H19" s="23">
        <f>O17*2600*1.75*1.07</f>
        <v>5589.824828282829</v>
      </c>
      <c r="I19" s="22"/>
      <c r="J19" s="22"/>
      <c r="K19" s="23"/>
      <c r="M19" s="65" t="s">
        <v>80</v>
      </c>
      <c r="O19" s="78">
        <f>I315</f>
        <v>0.42857142857142855</v>
      </c>
    </row>
    <row r="20" spans="1:15" ht="12.75">
      <c r="A20" s="113" t="s">
        <v>840</v>
      </c>
      <c r="B20" s="113"/>
      <c r="C20" s="113"/>
      <c r="D20" s="113"/>
      <c r="E20" s="113"/>
      <c r="F20" s="113"/>
      <c r="G20" s="22"/>
      <c r="H20" s="23">
        <f>O19*2600*1.5*1.07</f>
        <v>1788.4285714285713</v>
      </c>
      <c r="I20" s="22"/>
      <c r="J20" s="22"/>
      <c r="K20" s="23"/>
      <c r="M20" s="65" t="s">
        <v>314</v>
      </c>
      <c r="O20" s="65">
        <v>4241.6</v>
      </c>
    </row>
    <row r="21" spans="1:15" ht="12.75" customHeight="1">
      <c r="A21" s="113" t="s">
        <v>841</v>
      </c>
      <c r="B21" s="113"/>
      <c r="C21" s="113"/>
      <c r="D21" s="113"/>
      <c r="E21" s="113"/>
      <c r="F21" s="113"/>
      <c r="G21" s="22"/>
      <c r="H21" s="23">
        <f>O18*2203*1.3*1.07</f>
        <v>3128.2141041666664</v>
      </c>
      <c r="I21" s="22"/>
      <c r="J21" s="22"/>
      <c r="K21" s="23"/>
      <c r="M21" s="65" t="s">
        <v>83</v>
      </c>
      <c r="O21" s="65">
        <v>300</v>
      </c>
    </row>
    <row r="22" spans="1:13" ht="12.75" hidden="1">
      <c r="A22" s="22"/>
      <c r="B22" s="22"/>
      <c r="C22" s="22"/>
      <c r="D22" s="22"/>
      <c r="E22" s="22"/>
      <c r="F22" s="22"/>
      <c r="G22" s="22"/>
      <c r="H22" s="23"/>
      <c r="I22" s="22"/>
      <c r="J22" s="22"/>
      <c r="M22" s="65" t="s">
        <v>316</v>
      </c>
    </row>
    <row r="23" spans="1:16" ht="12.75">
      <c r="A23" s="23">
        <f>H19+H20+H21</f>
        <v>10506.467503878066</v>
      </c>
      <c r="B23" s="22" t="s">
        <v>84</v>
      </c>
      <c r="C23" s="22"/>
      <c r="D23" s="22"/>
      <c r="E23" s="22"/>
      <c r="F23" s="22"/>
      <c r="G23" s="22"/>
      <c r="H23" s="23">
        <f>(H19+H20+H21)*14.2%</f>
        <v>1491.9183855506853</v>
      </c>
      <c r="I23" s="22"/>
      <c r="J23" s="22">
        <v>781740.1</v>
      </c>
      <c r="K23" s="25"/>
      <c r="L23" s="70"/>
      <c r="M23" s="65" t="s">
        <v>85</v>
      </c>
      <c r="P23" s="65">
        <f>O23/2</f>
        <v>0</v>
      </c>
    </row>
    <row r="24" spans="1:16" ht="12.75">
      <c r="A24" s="22" t="s">
        <v>86</v>
      </c>
      <c r="B24" s="22"/>
      <c r="C24" s="22"/>
      <c r="D24" s="22"/>
      <c r="E24" s="22"/>
      <c r="F24" s="22"/>
      <c r="G24" s="22"/>
      <c r="H24" s="23"/>
      <c r="I24" s="22"/>
      <c r="J24" s="22">
        <v>113966.82</v>
      </c>
      <c r="K24" s="23"/>
      <c r="N24" s="65">
        <v>9</v>
      </c>
      <c r="O24" s="65">
        <v>6</v>
      </c>
      <c r="P24" s="65">
        <f>O24/2</f>
        <v>3</v>
      </c>
    </row>
    <row r="25" spans="1:16" ht="12.75">
      <c r="A25" s="113" t="s">
        <v>842</v>
      </c>
      <c r="B25" s="113"/>
      <c r="C25" s="113"/>
      <c r="D25" s="113"/>
      <c r="E25" s="113"/>
      <c r="F25" s="113"/>
      <c r="G25" s="22"/>
      <c r="H25" s="23">
        <f>0.057*O20</f>
        <v>241.77120000000002</v>
      </c>
      <c r="I25" s="23"/>
      <c r="J25" s="22"/>
      <c r="K25" s="23"/>
      <c r="N25" s="65">
        <v>10</v>
      </c>
      <c r="P25" s="65">
        <f>O25/2</f>
        <v>0</v>
      </c>
    </row>
    <row r="26" spans="1:14" ht="12.75">
      <c r="A26" s="113" t="s">
        <v>843</v>
      </c>
      <c r="B26" s="113"/>
      <c r="C26" s="113"/>
      <c r="D26" s="113"/>
      <c r="E26" s="113"/>
      <c r="F26" s="113"/>
      <c r="G26" s="113"/>
      <c r="H26" s="23">
        <f>0.0085*O20</f>
        <v>36.0536</v>
      </c>
      <c r="I26" s="23"/>
      <c r="J26" s="22"/>
      <c r="K26" s="23"/>
      <c r="N26" s="65">
        <v>16</v>
      </c>
    </row>
    <row r="27" spans="1:11" ht="12.75">
      <c r="A27" s="113" t="s">
        <v>844</v>
      </c>
      <c r="B27" s="113"/>
      <c r="C27" s="113"/>
      <c r="D27" s="113"/>
      <c r="E27" s="113"/>
      <c r="F27" s="113"/>
      <c r="G27" s="113"/>
      <c r="H27" s="23">
        <f>0.0018*O20</f>
        <v>7.634880000000001</v>
      </c>
      <c r="I27" s="23"/>
      <c r="J27" s="22"/>
      <c r="K27" s="23"/>
    </row>
    <row r="28" spans="1:13" ht="12.75">
      <c r="A28" s="113" t="s">
        <v>845</v>
      </c>
      <c r="B28" s="113"/>
      <c r="C28" s="113"/>
      <c r="D28" s="113"/>
      <c r="E28" s="113"/>
      <c r="F28" s="113"/>
      <c r="G28" s="113"/>
      <c r="H28" s="23">
        <f>O20*0.005</f>
        <v>21.208000000000002</v>
      </c>
      <c r="I28" s="22"/>
      <c r="J28" s="22"/>
      <c r="K28" s="23"/>
      <c r="M28" s="65" t="s">
        <v>90</v>
      </c>
    </row>
    <row r="29" spans="1:15" ht="12.75">
      <c r="A29" s="113" t="s">
        <v>846</v>
      </c>
      <c r="B29" s="113"/>
      <c r="C29" s="113"/>
      <c r="D29" s="113"/>
      <c r="E29" s="113"/>
      <c r="F29" s="113"/>
      <c r="G29" s="113"/>
      <c r="H29" s="23">
        <f>O20*0.017</f>
        <v>72.1072</v>
      </c>
      <c r="I29" s="22"/>
      <c r="J29" s="22">
        <v>13606.82</v>
      </c>
      <c r="K29" s="23"/>
      <c r="M29" s="65" t="s">
        <v>92</v>
      </c>
      <c r="O29" s="65">
        <v>48</v>
      </c>
    </row>
    <row r="30" spans="1:15" ht="12.75">
      <c r="A30" s="113" t="s">
        <v>847</v>
      </c>
      <c r="B30" s="113"/>
      <c r="C30" s="113"/>
      <c r="D30" s="113"/>
      <c r="E30" s="113"/>
      <c r="F30" s="113"/>
      <c r="G30" s="113"/>
      <c r="H30" s="23">
        <f>0.054*O20*1.058</f>
        <v>242.33109120000003</v>
      </c>
      <c r="I30" s="22"/>
      <c r="J30" s="22"/>
      <c r="K30" s="23"/>
      <c r="M30" s="65" t="s">
        <v>94</v>
      </c>
      <c r="O30" s="65">
        <v>2258</v>
      </c>
    </row>
    <row r="31" spans="1:11" ht="12.75">
      <c r="A31" s="113"/>
      <c r="B31" s="113"/>
      <c r="C31" s="113"/>
      <c r="D31" s="113"/>
      <c r="E31" s="113"/>
      <c r="F31" s="113"/>
      <c r="G31" s="113"/>
      <c r="H31" s="23"/>
      <c r="I31" s="22"/>
      <c r="J31" s="22"/>
      <c r="K31" s="23"/>
    </row>
    <row r="32" spans="1:15" ht="15.75">
      <c r="A32" s="110" t="s">
        <v>95</v>
      </c>
      <c r="B32" s="110"/>
      <c r="C32" s="110"/>
      <c r="D32" s="110"/>
      <c r="E32" s="110"/>
      <c r="F32" s="20"/>
      <c r="G32" s="20"/>
      <c r="H32" s="27"/>
      <c r="I32" s="20"/>
      <c r="J32" s="20"/>
      <c r="K32" s="21">
        <f>H34+H35+H36+H37+H38+H39+H40+H41+H42+H43+H44+H45+H46</f>
        <v>12519.329293333336</v>
      </c>
      <c r="M32" s="65" t="s">
        <v>96</v>
      </c>
      <c r="O32" s="69">
        <f>K293</f>
        <v>1.3508474020676924</v>
      </c>
    </row>
    <row r="33" spans="1:11" ht="12.75">
      <c r="A33" s="22"/>
      <c r="B33" s="22" t="s">
        <v>64</v>
      </c>
      <c r="C33" s="22"/>
      <c r="D33" s="22"/>
      <c r="E33" s="22"/>
      <c r="F33" s="22"/>
      <c r="G33" s="22"/>
      <c r="H33" s="28"/>
      <c r="I33" s="22"/>
      <c r="J33" s="22"/>
      <c r="K33" s="29"/>
    </row>
    <row r="34" spans="1:11" ht="12.75">
      <c r="A34" s="113" t="s">
        <v>358</v>
      </c>
      <c r="B34" s="113"/>
      <c r="C34" s="113"/>
      <c r="D34" s="113"/>
      <c r="E34" s="113"/>
      <c r="F34" s="113"/>
      <c r="G34" s="113"/>
      <c r="H34" s="28">
        <f>(O21*1.5)/12*90.3*1.058</f>
        <v>3582.6525</v>
      </c>
      <c r="I34" s="22"/>
      <c r="J34" s="22"/>
      <c r="K34" s="29"/>
    </row>
    <row r="35" spans="1:12" ht="12.75">
      <c r="A35" s="113" t="s">
        <v>848</v>
      </c>
      <c r="B35" s="113"/>
      <c r="C35" s="113"/>
      <c r="D35" s="113"/>
      <c r="E35" s="113"/>
      <c r="F35" s="113"/>
      <c r="G35" s="113"/>
      <c r="H35" s="28">
        <f>O21*1.5*33.1/12*1.058</f>
        <v>1313.2425</v>
      </c>
      <c r="I35" s="22"/>
      <c r="J35" s="22"/>
      <c r="K35" s="29"/>
      <c r="L35" s="65">
        <f>1.16*O20</f>
        <v>4920.256</v>
      </c>
    </row>
    <row r="36" spans="1:11" ht="12.75">
      <c r="A36" s="113" t="s">
        <v>849</v>
      </c>
      <c r="B36" s="113"/>
      <c r="C36" s="113"/>
      <c r="D36" s="113"/>
      <c r="E36" s="113"/>
      <c r="F36" s="113"/>
      <c r="G36" s="113"/>
      <c r="H36" s="28">
        <f>O30*2.24*1.107</f>
        <v>5599.11744</v>
      </c>
      <c r="I36" s="22"/>
      <c r="J36" s="22"/>
      <c r="K36" s="29"/>
    </row>
    <row r="37" spans="1:11" ht="12.75">
      <c r="A37" s="113" t="s">
        <v>850</v>
      </c>
      <c r="B37" s="113"/>
      <c r="C37" s="113"/>
      <c r="D37" s="113"/>
      <c r="E37" s="113"/>
      <c r="F37" s="113"/>
      <c r="G37" s="113"/>
      <c r="H37" s="28">
        <f>O20*0.028</f>
        <v>118.76480000000001</v>
      </c>
      <c r="I37" s="22"/>
      <c r="J37" s="22"/>
      <c r="K37" s="29"/>
    </row>
    <row r="38" spans="1:11" ht="12.75">
      <c r="A38" s="113" t="s">
        <v>851</v>
      </c>
      <c r="B38" s="113"/>
      <c r="C38" s="113"/>
      <c r="D38" s="113"/>
      <c r="E38" s="113"/>
      <c r="F38" s="113"/>
      <c r="G38" s="113"/>
      <c r="H38" s="28">
        <f>O20*0.0027</f>
        <v>11.452320000000002</v>
      </c>
      <c r="I38" s="22"/>
      <c r="J38" s="22"/>
      <c r="K38" s="29"/>
    </row>
    <row r="39" spans="1:11" ht="12.75">
      <c r="A39" s="113" t="s">
        <v>852</v>
      </c>
      <c r="B39" s="113"/>
      <c r="C39" s="113"/>
      <c r="D39" s="113"/>
      <c r="E39" s="24"/>
      <c r="F39" s="24"/>
      <c r="G39" s="24"/>
      <c r="H39" s="28">
        <f>O20*0.216</f>
        <v>916.1856</v>
      </c>
      <c r="I39" s="22"/>
      <c r="J39" s="22"/>
      <c r="K39" s="29"/>
    </row>
    <row r="40" spans="1:11" ht="12.75">
      <c r="A40" s="113" t="s">
        <v>103</v>
      </c>
      <c r="B40" s="113"/>
      <c r="C40" s="113"/>
      <c r="D40" s="113"/>
      <c r="E40" s="113"/>
      <c r="F40" s="113"/>
      <c r="G40" s="113"/>
      <c r="H40" s="28">
        <f>O29*4.81/12</f>
        <v>19.24</v>
      </c>
      <c r="I40" s="22"/>
      <c r="J40" s="22"/>
      <c r="K40" s="29"/>
    </row>
    <row r="41" spans="1:15" ht="12.75">
      <c r="A41" s="113" t="s">
        <v>853</v>
      </c>
      <c r="B41" s="113"/>
      <c r="C41" s="113"/>
      <c r="D41" s="113"/>
      <c r="E41" s="113"/>
      <c r="F41" s="113"/>
      <c r="G41" s="113"/>
      <c r="H41" s="28">
        <f>O41*80/12/3</f>
        <v>373.3333333333333</v>
      </c>
      <c r="I41" s="22"/>
      <c r="J41" s="22"/>
      <c r="K41" s="29"/>
      <c r="M41" s="65" t="s">
        <v>586</v>
      </c>
      <c r="O41" s="65">
        <v>168</v>
      </c>
    </row>
    <row r="42" spans="1:11" ht="12.75">
      <c r="A42" s="113" t="s">
        <v>854</v>
      </c>
      <c r="B42" s="113"/>
      <c r="C42" s="113"/>
      <c r="D42" s="113"/>
      <c r="E42" s="113"/>
      <c r="F42" s="113"/>
      <c r="G42" s="113"/>
      <c r="H42" s="28">
        <f>O20*0.027</f>
        <v>114.5232</v>
      </c>
      <c r="I42" s="22"/>
      <c r="J42" s="32"/>
      <c r="K42" s="29"/>
    </row>
    <row r="43" spans="1:11" ht="12.75">
      <c r="A43" s="113" t="s">
        <v>855</v>
      </c>
      <c r="B43" s="113"/>
      <c r="C43" s="113"/>
      <c r="D43" s="113"/>
      <c r="E43" s="113"/>
      <c r="F43" s="113"/>
      <c r="G43" s="113"/>
      <c r="H43" s="28">
        <f>O20*0.022</f>
        <v>93.3152</v>
      </c>
      <c r="I43" s="22"/>
      <c r="J43" s="22"/>
      <c r="K43" s="29"/>
    </row>
    <row r="44" spans="1:11" ht="12.75">
      <c r="A44" s="113" t="s">
        <v>856</v>
      </c>
      <c r="B44" s="113"/>
      <c r="C44" s="113"/>
      <c r="D44" s="113"/>
      <c r="E44" s="113"/>
      <c r="F44" s="113"/>
      <c r="G44" s="113"/>
      <c r="H44" s="28">
        <f>O20*0.022</f>
        <v>93.3152</v>
      </c>
      <c r="I44" s="22"/>
      <c r="J44" s="22"/>
      <c r="K44" s="29"/>
    </row>
    <row r="45" spans="1:11" ht="12.75">
      <c r="A45" s="113" t="s">
        <v>857</v>
      </c>
      <c r="B45" s="113"/>
      <c r="C45" s="113"/>
      <c r="D45" s="113"/>
      <c r="E45" s="113"/>
      <c r="F45" s="113"/>
      <c r="G45" s="24"/>
      <c r="H45" s="28">
        <f>O20*0.053</f>
        <v>224.8048</v>
      </c>
      <c r="I45" s="22"/>
      <c r="J45" s="22"/>
      <c r="K45" s="29"/>
    </row>
    <row r="46" spans="1:11" ht="12.75">
      <c r="A46" s="113" t="s">
        <v>858</v>
      </c>
      <c r="B46" s="113"/>
      <c r="C46" s="113"/>
      <c r="D46" s="113"/>
      <c r="E46" s="113"/>
      <c r="F46" s="113"/>
      <c r="G46" s="24"/>
      <c r="H46" s="28">
        <f>O20*0.014</f>
        <v>59.382400000000004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5.75">
      <c r="A48" s="86" t="s">
        <v>148</v>
      </c>
      <c r="B48" s="86"/>
      <c r="C48" s="86"/>
      <c r="D48" s="86"/>
      <c r="E48" s="86"/>
      <c r="F48" s="86"/>
      <c r="G48" s="86"/>
      <c r="H48" s="87"/>
      <c r="I48" s="88"/>
      <c r="J48" s="88">
        <v>9460.05</v>
      </c>
      <c r="K48" s="89">
        <f>H50+H51+H52+H53+H54</f>
        <v>9037.849254901961</v>
      </c>
    </row>
    <row r="49" spans="1:11" ht="12.75">
      <c r="A49" s="24"/>
      <c r="B49" s="24" t="s">
        <v>64</v>
      </c>
      <c r="C49" s="24"/>
      <c r="D49" s="24"/>
      <c r="E49" s="24"/>
      <c r="F49" s="24"/>
      <c r="G49" s="24"/>
      <c r="H49" s="28"/>
      <c r="I49" s="22"/>
      <c r="J49" s="22"/>
      <c r="K49" s="29"/>
    </row>
    <row r="50" spans="1:13" ht="12.75">
      <c r="A50" s="113" t="s">
        <v>859</v>
      </c>
      <c r="B50" s="113"/>
      <c r="C50" s="113"/>
      <c r="D50" s="113"/>
      <c r="E50" s="113"/>
      <c r="F50" s="113"/>
      <c r="G50" s="24"/>
      <c r="H50" s="28">
        <f>O20*2.07</f>
        <v>8780.112</v>
      </c>
      <c r="I50" s="22"/>
      <c r="J50" s="22"/>
      <c r="K50" s="29"/>
      <c r="M50" s="65">
        <v>18024</v>
      </c>
    </row>
    <row r="51" spans="1:11" ht="12.75">
      <c r="A51" s="113" t="s">
        <v>748</v>
      </c>
      <c r="B51" s="113"/>
      <c r="C51" s="113"/>
      <c r="D51" s="113"/>
      <c r="E51" s="113"/>
      <c r="F51" s="113"/>
      <c r="G51" s="24"/>
      <c r="H51" s="28">
        <f>1380*1/12</f>
        <v>115</v>
      </c>
      <c r="I51" s="22"/>
      <c r="J51" s="22"/>
      <c r="K51" s="29"/>
    </row>
    <row r="52" spans="1:11" ht="12.75">
      <c r="A52" s="113" t="s">
        <v>749</v>
      </c>
      <c r="B52" s="113"/>
      <c r="C52" s="113"/>
      <c r="D52" s="113"/>
      <c r="E52" s="113"/>
      <c r="F52" s="113"/>
      <c r="G52" s="113"/>
      <c r="H52" s="28">
        <f>1567*1/12</f>
        <v>130.58333333333334</v>
      </c>
      <c r="I52" s="22"/>
      <c r="J52" s="22"/>
      <c r="K52" s="29"/>
    </row>
    <row r="53" spans="1:11" ht="12.75">
      <c r="A53" s="113" t="s">
        <v>860</v>
      </c>
      <c r="B53" s="113"/>
      <c r="C53" s="113"/>
      <c r="D53" s="113"/>
      <c r="E53" s="113"/>
      <c r="F53" s="113"/>
      <c r="G53" s="113"/>
      <c r="H53" s="28">
        <f>56.4*1/2/12</f>
        <v>2.35</v>
      </c>
      <c r="I53" s="22"/>
      <c r="J53" s="22"/>
      <c r="K53" s="29"/>
    </row>
    <row r="54" spans="1:11" ht="12.75">
      <c r="A54" s="24" t="s">
        <v>340</v>
      </c>
      <c r="B54" s="24"/>
      <c r="C54" s="24"/>
      <c r="D54" s="24"/>
      <c r="E54" s="24"/>
      <c r="F54" s="24"/>
      <c r="G54" s="24"/>
      <c r="H54" s="28">
        <f>10000/85*1/12</f>
        <v>9.80392156862745</v>
      </c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3" ht="15.75">
      <c r="A56" s="20" t="s">
        <v>111</v>
      </c>
      <c r="B56" s="20"/>
      <c r="C56" s="20"/>
      <c r="D56" s="20"/>
      <c r="E56" s="20"/>
      <c r="F56" s="20"/>
      <c r="G56" s="20"/>
      <c r="H56" s="27"/>
      <c r="I56" s="20"/>
      <c r="J56" s="20"/>
      <c r="K56" s="21">
        <f>H59+H61+H62+H63+H64+H65+H66+H67+H69+H70</f>
        <v>15962.563030825453</v>
      </c>
      <c r="M56" s="71">
        <f>K56/309084*O20</f>
        <v>219.05633210243573</v>
      </c>
    </row>
    <row r="57" spans="1:11" ht="12.75">
      <c r="A57" s="22"/>
      <c r="B57" s="22" t="s">
        <v>64</v>
      </c>
      <c r="C57" s="22"/>
      <c r="D57" s="22"/>
      <c r="E57" s="22"/>
      <c r="F57" s="22"/>
      <c r="G57" s="22"/>
      <c r="H57" s="28"/>
      <c r="I57" s="22"/>
      <c r="J57" s="22"/>
      <c r="K57" s="29"/>
    </row>
    <row r="58" spans="1:11" ht="12.75">
      <c r="A58" s="33" t="s">
        <v>112</v>
      </c>
      <c r="B58" s="33"/>
      <c r="C58" s="33"/>
      <c r="D58" s="33"/>
      <c r="E58" s="33"/>
      <c r="F58" s="33"/>
      <c r="G58" s="33"/>
      <c r="H58" s="34"/>
      <c r="I58" s="33"/>
      <c r="J58" s="33"/>
      <c r="K58" s="35"/>
    </row>
    <row r="59" spans="1:13" ht="12.75">
      <c r="A59" s="111" t="s">
        <v>861</v>
      </c>
      <c r="B59" s="111"/>
      <c r="C59" s="111"/>
      <c r="D59" s="111"/>
      <c r="E59" s="111"/>
      <c r="F59" s="111"/>
      <c r="G59" s="36"/>
      <c r="H59" s="37">
        <f>K293*24.48*165.1*1.5*1.07</f>
        <v>8762.737769899697</v>
      </c>
      <c r="I59" s="38"/>
      <c r="J59" s="38"/>
      <c r="K59" s="35"/>
      <c r="M59" s="69">
        <f>K293</f>
        <v>1.3508474020676924</v>
      </c>
    </row>
    <row r="60" spans="1:11" ht="12.75">
      <c r="A60" s="33" t="s">
        <v>114</v>
      </c>
      <c r="B60" s="33"/>
      <c r="C60" s="33"/>
      <c r="D60" s="33"/>
      <c r="E60" s="33"/>
      <c r="F60" s="33"/>
      <c r="G60" s="33"/>
      <c r="H60" s="34"/>
      <c r="I60" s="33"/>
      <c r="J60" s="33"/>
      <c r="K60" s="35"/>
    </row>
    <row r="61" spans="1:11" ht="12.75">
      <c r="A61" s="39">
        <f>H59</f>
        <v>8762.737769899697</v>
      </c>
      <c r="B61" s="36" t="s">
        <v>115</v>
      </c>
      <c r="C61" s="36"/>
      <c r="D61" s="36"/>
      <c r="E61" s="36"/>
      <c r="F61" s="36"/>
      <c r="G61" s="38"/>
      <c r="H61" s="37">
        <f>H59*14.2%</f>
        <v>1244.308763325757</v>
      </c>
      <c r="I61" s="38"/>
      <c r="J61" s="38"/>
      <c r="K61" s="35"/>
    </row>
    <row r="62" spans="1:11" ht="12.75">
      <c r="A62" s="30" t="s">
        <v>86</v>
      </c>
      <c r="B62" s="30"/>
      <c r="C62" s="30"/>
      <c r="D62" s="30"/>
      <c r="E62" s="30"/>
      <c r="F62" s="40"/>
      <c r="G62" s="40"/>
      <c r="H62" s="37">
        <f>0.04*O20</f>
        <v>169.66400000000002</v>
      </c>
      <c r="I62" s="38"/>
      <c r="J62" s="38"/>
      <c r="K62" s="35"/>
    </row>
    <row r="63" spans="1:11" ht="12.75">
      <c r="A63" s="108" t="s">
        <v>116</v>
      </c>
      <c r="B63" s="108"/>
      <c r="C63" s="108"/>
      <c r="D63" s="108"/>
      <c r="E63" s="108"/>
      <c r="F63" s="108"/>
      <c r="G63" s="108"/>
      <c r="H63" s="37">
        <f>0.97*O20</f>
        <v>4114.352</v>
      </c>
      <c r="I63" s="38"/>
      <c r="J63" s="38"/>
      <c r="K63" s="35"/>
    </row>
    <row r="64" spans="1:11" ht="12.75">
      <c r="A64" s="108" t="s">
        <v>862</v>
      </c>
      <c r="B64" s="108"/>
      <c r="C64" s="108"/>
      <c r="D64" s="108"/>
      <c r="E64" s="108"/>
      <c r="F64" s="30"/>
      <c r="G64" s="30"/>
      <c r="H64" s="37">
        <f>0.0037*O20</f>
        <v>15.693920000000002</v>
      </c>
      <c r="I64" s="38"/>
      <c r="J64" s="38"/>
      <c r="K64" s="35"/>
    </row>
    <row r="65" spans="1:12" ht="12.75">
      <c r="A65" s="108" t="s">
        <v>863</v>
      </c>
      <c r="B65" s="108"/>
      <c r="C65" s="108"/>
      <c r="D65" s="108"/>
      <c r="E65" s="108"/>
      <c r="F65" s="108"/>
      <c r="G65" s="108"/>
      <c r="H65" s="37">
        <f>O20*0.082</f>
        <v>347.81120000000004</v>
      </c>
      <c r="I65" s="38"/>
      <c r="J65" s="38"/>
      <c r="K65" s="35"/>
      <c r="L65" s="69"/>
    </row>
    <row r="66" spans="1:13" ht="12.75">
      <c r="A66" s="108" t="s">
        <v>864</v>
      </c>
      <c r="B66" s="108"/>
      <c r="C66" s="108"/>
      <c r="D66" s="108"/>
      <c r="E66" s="108"/>
      <c r="F66" s="108"/>
      <c r="G66" s="108"/>
      <c r="H66" s="31">
        <f>O20*0.023*1.107</f>
        <v>107.99537760000001</v>
      </c>
      <c r="I66" s="33"/>
      <c r="J66" s="33"/>
      <c r="K66" s="35"/>
      <c r="M66" s="65">
        <f>36646.37/309083*O20</f>
        <v>502.9045369431513</v>
      </c>
    </row>
    <row r="67" spans="1:11" ht="12.75">
      <c r="A67" s="41" t="s">
        <v>120</v>
      </c>
      <c r="B67" s="41"/>
      <c r="C67" s="41"/>
      <c r="D67" s="41"/>
      <c r="E67" s="40"/>
      <c r="F67" s="40"/>
      <c r="G67" s="40"/>
      <c r="H67" s="31">
        <v>600</v>
      </c>
      <c r="I67" s="38"/>
      <c r="J67" s="38"/>
      <c r="K67" s="35"/>
    </row>
    <row r="68" spans="1:11" ht="12.75" customHeight="1" hidden="1">
      <c r="A68" s="38"/>
      <c r="B68" s="38"/>
      <c r="C68" s="38"/>
      <c r="D68" s="40"/>
      <c r="E68" s="40"/>
      <c r="F68" s="40"/>
      <c r="G68" s="40"/>
      <c r="H68" s="121"/>
      <c r="I68" s="40"/>
      <c r="J68" s="40"/>
      <c r="K68" s="122"/>
    </row>
    <row r="69" spans="1:11" ht="12.75">
      <c r="A69" s="38" t="s">
        <v>568</v>
      </c>
      <c r="B69" s="38"/>
      <c r="C69" s="38"/>
      <c r="D69" s="40"/>
      <c r="E69" s="40"/>
      <c r="F69" s="40"/>
      <c r="G69" s="38"/>
      <c r="H69" s="37">
        <v>300</v>
      </c>
      <c r="I69" s="40"/>
      <c r="J69" s="40"/>
      <c r="K69" s="122"/>
    </row>
    <row r="70" spans="1:11" ht="12.75">
      <c r="A70" s="38" t="s">
        <v>377</v>
      </c>
      <c r="B70" s="38"/>
      <c r="C70" s="38"/>
      <c r="D70" s="40"/>
      <c r="E70" s="40"/>
      <c r="F70" s="40"/>
      <c r="G70" s="38"/>
      <c r="H70" s="37">
        <v>300</v>
      </c>
      <c r="I70" s="40"/>
      <c r="J70" s="40"/>
      <c r="K70" s="122"/>
    </row>
    <row r="71" spans="1:11" ht="12.75">
      <c r="A71" s="38"/>
      <c r="B71" s="38"/>
      <c r="C71" s="38"/>
      <c r="D71" s="40"/>
      <c r="E71" s="40"/>
      <c r="F71" s="40"/>
      <c r="G71" s="38"/>
      <c r="H71" s="37"/>
      <c r="I71" s="40"/>
      <c r="J71" s="40"/>
      <c r="K71" s="122"/>
    </row>
    <row r="72" spans="1:13" ht="15.75">
      <c r="A72" s="110" t="s">
        <v>121</v>
      </c>
      <c r="B72" s="110"/>
      <c r="C72" s="110"/>
      <c r="D72" s="110"/>
      <c r="E72" s="42"/>
      <c r="F72" s="42"/>
      <c r="G72" s="20"/>
      <c r="H72" s="27"/>
      <c r="I72" s="20"/>
      <c r="J72" s="20"/>
      <c r="K72" s="21">
        <f>H74+H75+H76+H77</f>
        <v>3447.9966400000003</v>
      </c>
      <c r="M72" s="72">
        <f>51932.37/301083*O20</f>
        <v>731.6133444664761</v>
      </c>
    </row>
    <row r="73" spans="1:11" ht="12.75">
      <c r="A73" s="111" t="s">
        <v>122</v>
      </c>
      <c r="B73" s="111"/>
      <c r="C73" s="111"/>
      <c r="D73" s="111"/>
      <c r="E73" s="111"/>
      <c r="F73" s="111"/>
      <c r="G73" s="36"/>
      <c r="H73" s="37"/>
      <c r="I73" s="36"/>
      <c r="J73" s="36"/>
      <c r="K73" s="35"/>
    </row>
    <row r="74" spans="1:11" ht="12.75">
      <c r="A74" s="36" t="s">
        <v>865</v>
      </c>
      <c r="B74" s="36"/>
      <c r="C74" s="36"/>
      <c r="D74" s="36"/>
      <c r="E74" s="36"/>
      <c r="F74" s="36"/>
      <c r="G74" s="36"/>
      <c r="H74" s="37">
        <f>0.2227*O20</f>
        <v>944.6043200000001</v>
      </c>
      <c r="I74" s="36"/>
      <c r="J74" s="36"/>
      <c r="K74" s="35"/>
    </row>
    <row r="75" spans="1:11" ht="12.75">
      <c r="A75" s="30" t="s">
        <v>866</v>
      </c>
      <c r="B75" s="43"/>
      <c r="C75" s="30"/>
      <c r="D75" s="30"/>
      <c r="E75" s="44"/>
      <c r="F75" s="38"/>
      <c r="G75" s="38"/>
      <c r="H75" s="37">
        <f>0.0257*O20</f>
        <v>109.00912000000001</v>
      </c>
      <c r="I75" s="38"/>
      <c r="J75" s="38"/>
      <c r="K75" s="35"/>
    </row>
    <row r="76" spans="1:11" ht="12.75">
      <c r="A76" s="111" t="s">
        <v>867</v>
      </c>
      <c r="B76" s="111"/>
      <c r="C76" s="111"/>
      <c r="D76" s="111"/>
      <c r="E76" s="111"/>
      <c r="F76" s="38"/>
      <c r="G76" s="38"/>
      <c r="H76" s="37">
        <f>0.0945*O20</f>
        <v>400.8312</v>
      </c>
      <c r="I76" s="38"/>
      <c r="J76" s="38"/>
      <c r="K76" s="35"/>
    </row>
    <row r="77" spans="1:11" ht="12.75">
      <c r="A77" s="36" t="s">
        <v>868</v>
      </c>
      <c r="B77" s="36"/>
      <c r="C77" s="36"/>
      <c r="D77" s="36"/>
      <c r="E77" s="36"/>
      <c r="F77" s="38"/>
      <c r="G77" s="38"/>
      <c r="H77" s="37">
        <f>0.47*O20</f>
        <v>1993.5520000000001</v>
      </c>
      <c r="I77" s="38"/>
      <c r="J77" s="38"/>
      <c r="K77" s="45"/>
    </row>
    <row r="78" spans="1:11" ht="12.75">
      <c r="A78" s="30"/>
      <c r="B78" s="30"/>
      <c r="C78" s="30"/>
      <c r="D78" s="30"/>
      <c r="E78" s="30"/>
      <c r="F78" s="30"/>
      <c r="G78" s="30"/>
      <c r="H78" s="37"/>
      <c r="I78" s="38"/>
      <c r="J78" s="38"/>
      <c r="K78" s="35"/>
    </row>
    <row r="79" spans="1:13" ht="15.75">
      <c r="A79" s="26" t="s">
        <v>127</v>
      </c>
      <c r="B79" s="26"/>
      <c r="C79" s="26"/>
      <c r="D79" s="26"/>
      <c r="E79" s="26"/>
      <c r="F79" s="26"/>
      <c r="G79" s="26"/>
      <c r="H79" s="46"/>
      <c r="I79" s="20"/>
      <c r="J79" s="20"/>
      <c r="K79" s="21">
        <f>O20*0.94</f>
        <v>3987.1040000000003</v>
      </c>
      <c r="M79" s="71">
        <f>231179.9/309083*O20</f>
        <v>3172.522150490321</v>
      </c>
    </row>
    <row r="80" spans="1:11" ht="15.75">
      <c r="A80" s="47"/>
      <c r="B80" s="47"/>
      <c r="C80" s="112" t="s">
        <v>64</v>
      </c>
      <c r="D80" s="112"/>
      <c r="E80" s="47"/>
      <c r="F80" s="47"/>
      <c r="G80" s="47"/>
      <c r="H80" s="48"/>
      <c r="I80" s="47"/>
      <c r="J80" s="47"/>
      <c r="K80" s="49"/>
    </row>
    <row r="81" spans="1:11" ht="12.75">
      <c r="A81" s="30" t="s">
        <v>128</v>
      </c>
      <c r="B81" s="30"/>
      <c r="C81" s="30"/>
      <c r="D81" s="30"/>
      <c r="E81" s="30"/>
      <c r="F81" s="30"/>
      <c r="G81" s="30"/>
      <c r="H81" s="37"/>
      <c r="I81" s="38"/>
      <c r="J81" s="38"/>
      <c r="K81" s="35"/>
    </row>
    <row r="82" spans="1:11" ht="12.75">
      <c r="A82" s="30" t="s">
        <v>129</v>
      </c>
      <c r="B82" s="43"/>
      <c r="C82" s="30"/>
      <c r="D82" s="30"/>
      <c r="E82" s="30"/>
      <c r="F82" s="44"/>
      <c r="G82" s="44"/>
      <c r="H82" s="37"/>
      <c r="I82" s="38"/>
      <c r="J82" s="38"/>
      <c r="K82" s="35"/>
    </row>
    <row r="83" spans="1:11" ht="12.75">
      <c r="A83" s="108" t="s">
        <v>130</v>
      </c>
      <c r="B83" s="108"/>
      <c r="C83" s="108"/>
      <c r="D83" s="108"/>
      <c r="E83" s="108"/>
      <c r="F83" s="108"/>
      <c r="G83" s="44"/>
      <c r="H83" s="37"/>
      <c r="I83" s="38"/>
      <c r="J83" s="38"/>
      <c r="K83" s="35"/>
    </row>
    <row r="84" spans="1:11" ht="12.75">
      <c r="A84" s="108" t="s">
        <v>131</v>
      </c>
      <c r="B84" s="108"/>
      <c r="C84" s="108"/>
      <c r="D84" s="108"/>
      <c r="E84" s="108"/>
      <c r="F84" s="108"/>
      <c r="G84" s="108"/>
      <c r="H84" s="37"/>
      <c r="I84" s="38"/>
      <c r="J84" s="38"/>
      <c r="K84" s="35"/>
    </row>
    <row r="85" spans="1:11" ht="12.75">
      <c r="A85" s="108" t="s">
        <v>132</v>
      </c>
      <c r="B85" s="108"/>
      <c r="C85" s="108"/>
      <c r="D85" s="108"/>
      <c r="E85" s="109"/>
      <c r="F85" s="109"/>
      <c r="G85" s="109"/>
      <c r="H85" s="37"/>
      <c r="I85" s="38"/>
      <c r="J85" s="38"/>
      <c r="K85" s="35"/>
    </row>
    <row r="86" spans="1:11" ht="12.75">
      <c r="A86" s="108" t="s">
        <v>133</v>
      </c>
      <c r="B86" s="108"/>
      <c r="C86" s="108"/>
      <c r="D86" s="108"/>
      <c r="E86" s="108"/>
      <c r="F86" s="44"/>
      <c r="G86" s="44"/>
      <c r="H86" s="37"/>
      <c r="I86" s="38"/>
      <c r="J86" s="38"/>
      <c r="K86" s="35"/>
    </row>
    <row r="87" spans="1:14" ht="12.75">
      <c r="A87" s="44" t="s">
        <v>134</v>
      </c>
      <c r="B87" s="44"/>
      <c r="C87" s="44"/>
      <c r="D87" s="44"/>
      <c r="E87" s="44"/>
      <c r="F87" s="44"/>
      <c r="G87" s="44"/>
      <c r="H87" s="37"/>
      <c r="I87" s="38"/>
      <c r="J87" s="38"/>
      <c r="K87" s="35"/>
      <c r="N87" s="69">
        <f>K17+K32+K48+K56+K72+K79</f>
        <v>57566.699199689494</v>
      </c>
    </row>
    <row r="88" spans="1:14" ht="12.75">
      <c r="A88" s="22"/>
      <c r="B88" s="22"/>
      <c r="C88" s="22"/>
      <c r="D88" s="22"/>
      <c r="E88" s="22"/>
      <c r="F88" s="22"/>
      <c r="G88" s="22"/>
      <c r="H88" s="28"/>
      <c r="I88" s="22"/>
      <c r="J88" s="22"/>
      <c r="K88" s="29"/>
      <c r="N88" s="65" t="e">
        <f>#REF!*97%</f>
        <v>#REF!</v>
      </c>
    </row>
    <row r="89" spans="1:14" ht="15.75">
      <c r="A89" s="20" t="s">
        <v>135</v>
      </c>
      <c r="B89" s="20"/>
      <c r="C89" s="20"/>
      <c r="D89" s="20"/>
      <c r="E89" s="20"/>
      <c r="F89" s="51"/>
      <c r="G89" s="51"/>
      <c r="H89" s="52"/>
      <c r="I89" s="51"/>
      <c r="J89" s="51"/>
      <c r="K89" s="21">
        <f>0.0205*O20</f>
        <v>86.95280000000001</v>
      </c>
      <c r="L89" s="72">
        <f>K89/309084*O20</f>
        <v>1.193264602761709</v>
      </c>
      <c r="M89" s="72">
        <f>L89/309084*P20</f>
        <v>0</v>
      </c>
      <c r="N89" s="65" t="e">
        <f>(N88-N87)*0.15</f>
        <v>#REF!</v>
      </c>
    </row>
    <row r="90" spans="1:13" ht="15.75">
      <c r="A90" s="54"/>
      <c r="B90" s="54"/>
      <c r="C90" s="54"/>
      <c r="D90" s="54"/>
      <c r="E90" s="54"/>
      <c r="F90" s="53"/>
      <c r="G90" s="53"/>
      <c r="H90" s="55"/>
      <c r="I90" s="53"/>
      <c r="J90" s="53"/>
      <c r="K90" s="56"/>
      <c r="L90" s="72"/>
      <c r="M90" s="72"/>
    </row>
    <row r="91" spans="1:11" ht="15.75">
      <c r="A91" s="57" t="s">
        <v>673</v>
      </c>
      <c r="B91" s="57"/>
      <c r="C91" s="57"/>
      <c r="D91" s="58"/>
      <c r="E91" s="58"/>
      <c r="F91" s="58"/>
      <c r="G91" s="58"/>
      <c r="H91" s="59"/>
      <c r="I91" s="58"/>
      <c r="J91" s="58"/>
      <c r="K91" s="64">
        <f>K15*0.06</f>
        <v>3459.2191199813697</v>
      </c>
    </row>
    <row r="92" spans="1:11" ht="15.75">
      <c r="A92" s="57"/>
      <c r="B92" s="57"/>
      <c r="C92" s="57"/>
      <c r="D92" s="58"/>
      <c r="E92" s="58"/>
      <c r="F92" s="58"/>
      <c r="G92" s="58"/>
      <c r="H92" s="59"/>
      <c r="I92" s="58"/>
      <c r="J92" s="58"/>
      <c r="K92" s="64"/>
    </row>
    <row r="93" spans="1:11" ht="15.75">
      <c r="A93" s="63" t="s">
        <v>137</v>
      </c>
      <c r="B93" s="63"/>
      <c r="C93" s="63"/>
      <c r="D93" s="63"/>
      <c r="E93" s="63"/>
      <c r="F93" s="63"/>
      <c r="G93" s="63"/>
      <c r="H93" s="63"/>
      <c r="I93" s="63"/>
      <c r="J93" s="63"/>
      <c r="K93" s="64">
        <f>K91+K15</f>
        <v>61112.87111967086</v>
      </c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 t="s">
        <v>138</v>
      </c>
      <c r="B95" s="63"/>
      <c r="C95" s="63"/>
      <c r="D95" s="63"/>
      <c r="E95" s="63"/>
      <c r="F95" s="63"/>
      <c r="G95" s="63"/>
      <c r="H95" s="63"/>
      <c r="I95" s="63"/>
      <c r="J95" s="63"/>
      <c r="K95" s="64">
        <f>K93/O20</f>
        <v>14.407976027836396</v>
      </c>
    </row>
    <row r="96" spans="1:11" ht="15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t="15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4"/>
    </row>
    <row r="98" spans="1:11" ht="15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4"/>
    </row>
    <row r="99" ht="15.75" customHeight="1"/>
    <row r="100" ht="15.75" customHeight="1"/>
    <row r="105" spans="3:9" s="65" customFormat="1" ht="15.75">
      <c r="C105" s="106" t="s">
        <v>139</v>
      </c>
      <c r="D105" s="107"/>
      <c r="E105" s="107"/>
      <c r="F105" s="107"/>
      <c r="G105" s="107"/>
      <c r="H105" s="107"/>
      <c r="I105" s="107"/>
    </row>
    <row r="106" spans="3:9" s="65" customFormat="1" ht="15.75">
      <c r="C106" s="74" t="s">
        <v>140</v>
      </c>
      <c r="D106" s="74" t="s">
        <v>141</v>
      </c>
      <c r="E106" s="74"/>
      <c r="F106" s="74"/>
      <c r="G106" s="75"/>
      <c r="H106" s="75"/>
      <c r="I106" s="75"/>
    </row>
    <row r="107" s="65" customFormat="1" ht="12.75"/>
    <row r="108" s="65" customFormat="1" ht="12.75">
      <c r="E108" s="65" t="s">
        <v>142</v>
      </c>
    </row>
    <row r="109" spans="5:8" s="65" customFormat="1" ht="12.75">
      <c r="E109" s="65" t="s">
        <v>143</v>
      </c>
      <c r="H109" s="65">
        <v>1200</v>
      </c>
    </row>
    <row r="110" spans="5:8" s="65" customFormat="1" ht="12.75">
      <c r="E110" s="65" t="s">
        <v>144</v>
      </c>
      <c r="H110" s="65">
        <v>1324</v>
      </c>
    </row>
    <row r="111" spans="5:8" s="65" customFormat="1" ht="12.75">
      <c r="E111" s="65" t="s">
        <v>145</v>
      </c>
      <c r="H111" s="65">
        <v>332</v>
      </c>
    </row>
    <row r="112" spans="5:8" s="65" customFormat="1" ht="12.75">
      <c r="E112" s="65" t="s">
        <v>146</v>
      </c>
      <c r="H112" s="65">
        <v>5351.8</v>
      </c>
    </row>
    <row r="113" s="65" customFormat="1" ht="12.75"/>
    <row r="114" spans="1:11" s="65" customFormat="1" ht="15.75">
      <c r="A114" s="105" t="s">
        <v>72</v>
      </c>
      <c r="B114" s="105"/>
      <c r="C114" s="105"/>
      <c r="D114" s="105"/>
      <c r="E114" s="105"/>
      <c r="F114" s="105"/>
      <c r="G114" s="105"/>
      <c r="H114" s="76" t="e">
        <f>H116+H118+H120+H122+H124+H126+H128</f>
        <v>#REF!</v>
      </c>
      <c r="I114" s="77" t="s">
        <v>70</v>
      </c>
      <c r="K114" s="78" t="e">
        <f>H114-20000</f>
        <v>#REF!</v>
      </c>
    </row>
    <row r="115" spans="1:7" s="65" customFormat="1" ht="12.75">
      <c r="A115" s="79"/>
      <c r="B115" s="79"/>
      <c r="C115" s="79"/>
      <c r="D115" s="79"/>
      <c r="E115" s="79"/>
      <c r="F115" s="79"/>
      <c r="G115" s="79"/>
    </row>
    <row r="116" spans="1:8" s="65" customFormat="1" ht="15.75">
      <c r="A116" s="80" t="s">
        <v>147</v>
      </c>
      <c r="B116" s="80"/>
      <c r="C116" s="80"/>
      <c r="D116" s="80"/>
      <c r="E116" s="80"/>
      <c r="F116" s="80"/>
      <c r="G116" s="80"/>
      <c r="H116" s="78">
        <f>K17</f>
        <v>12611.85698062875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78"/>
    </row>
    <row r="118" spans="1:8" s="65" customFormat="1" ht="15.75">
      <c r="A118" s="105" t="s">
        <v>95</v>
      </c>
      <c r="B118" s="105"/>
      <c r="C118" s="105"/>
      <c r="D118" s="105"/>
      <c r="E118" s="105"/>
      <c r="F118" s="80"/>
      <c r="G118" s="80"/>
      <c r="H118" s="78">
        <f>K32</f>
        <v>12519.329293333336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78"/>
    </row>
    <row r="120" spans="1:8" s="65" customFormat="1" ht="15.75">
      <c r="A120" s="105" t="s">
        <v>148</v>
      </c>
      <c r="B120" s="105"/>
      <c r="C120" s="105"/>
      <c r="D120" s="105"/>
      <c r="E120" s="105"/>
      <c r="F120" s="105"/>
      <c r="G120" s="105"/>
      <c r="H120" s="81" t="e">
        <f>#REF!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111</v>
      </c>
      <c r="B122" s="80"/>
      <c r="C122" s="80"/>
      <c r="D122" s="80"/>
      <c r="E122" s="80"/>
      <c r="F122" s="80"/>
      <c r="G122" s="80"/>
      <c r="H122" s="82">
        <f>M56</f>
        <v>219.05633210243573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105" t="s">
        <v>149</v>
      </c>
      <c r="B124" s="105"/>
      <c r="C124" s="105"/>
      <c r="D124" s="105"/>
      <c r="E124" s="80"/>
      <c r="F124" s="80"/>
      <c r="G124" s="80"/>
      <c r="H124" s="81">
        <f>M72</f>
        <v>731.6133444664761</v>
      </c>
    </row>
    <row r="125" spans="1:8" s="65" customFormat="1" ht="12.75">
      <c r="A125" s="79"/>
      <c r="B125" s="79"/>
      <c r="C125" s="79"/>
      <c r="D125" s="79"/>
      <c r="E125" s="79"/>
      <c r="F125" s="79"/>
      <c r="G125" s="79"/>
      <c r="H125" s="82"/>
    </row>
    <row r="126" spans="1:8" s="65" customFormat="1" ht="15.75">
      <c r="A126" s="83" t="s">
        <v>127</v>
      </c>
      <c r="B126" s="83"/>
      <c r="C126" s="83"/>
      <c r="D126" s="83"/>
      <c r="E126" s="83"/>
      <c r="F126" s="83"/>
      <c r="G126" s="83"/>
      <c r="H126" s="81">
        <f>M79</f>
        <v>3172.522150490321</v>
      </c>
    </row>
    <row r="127" spans="1:8" s="65" customFormat="1" ht="12.75">
      <c r="A127" s="79"/>
      <c r="B127" s="79"/>
      <c r="C127" s="79"/>
      <c r="D127" s="79"/>
      <c r="E127" s="79"/>
      <c r="F127" s="79"/>
      <c r="G127" s="79"/>
      <c r="H127" s="82"/>
    </row>
    <row r="128" spans="1:8" s="65" customFormat="1" ht="15.75">
      <c r="A128" s="80" t="s">
        <v>150</v>
      </c>
      <c r="B128" s="80"/>
      <c r="C128" s="80"/>
      <c r="D128" s="80"/>
      <c r="E128" s="80"/>
      <c r="F128" s="84"/>
      <c r="G128" s="84"/>
      <c r="H128" s="81">
        <f>L89</f>
        <v>1.193264602761709</v>
      </c>
    </row>
    <row r="129" s="65" customFormat="1" ht="12.75"/>
    <row r="130" s="65" customFormat="1" ht="12.75"/>
    <row r="131" s="65" customFormat="1" ht="12.75">
      <c r="H131" s="65" t="s">
        <v>151</v>
      </c>
    </row>
    <row r="132" s="65" customFormat="1" ht="12.75">
      <c r="H132" s="65" t="s">
        <v>146</v>
      </c>
    </row>
    <row r="133" s="65" customFormat="1" ht="12.75">
      <c r="H133" s="65" t="s">
        <v>152</v>
      </c>
    </row>
    <row r="134" s="65" customFormat="1" ht="12.75"/>
    <row r="135" s="65" customFormat="1" ht="12.75"/>
    <row r="136" s="65" customFormat="1" ht="12.75">
      <c r="F136" s="65" t="s">
        <v>153</v>
      </c>
    </row>
    <row r="137" s="65" customFormat="1" ht="12.75">
      <c r="D137" s="65" t="s">
        <v>154</v>
      </c>
    </row>
    <row r="138" s="65" customFormat="1" ht="12.75">
      <c r="D138" s="65" t="s">
        <v>155</v>
      </c>
    </row>
    <row r="139" spans="6:13" s="65" customFormat="1" ht="12.75">
      <c r="F139" s="65" t="s">
        <v>156</v>
      </c>
      <c r="M139" s="65" t="s">
        <v>157</v>
      </c>
    </row>
    <row r="140" s="65" customFormat="1" ht="12.75">
      <c r="M140" s="65" t="s">
        <v>158</v>
      </c>
    </row>
    <row r="141" spans="1:14" s="65" customFormat="1" ht="12.75">
      <c r="A141" s="65" t="s">
        <v>159</v>
      </c>
      <c r="B141" s="65" t="s">
        <v>160</v>
      </c>
      <c r="D141" s="65" t="s">
        <v>161</v>
      </c>
      <c r="F141" s="65" t="s">
        <v>162</v>
      </c>
      <c r="G141" s="65" t="s">
        <v>163</v>
      </c>
      <c r="H141" s="65" t="s">
        <v>164</v>
      </c>
      <c r="J141" s="65" t="s">
        <v>165</v>
      </c>
      <c r="M141" s="73" t="s">
        <v>166</v>
      </c>
      <c r="N141" s="65">
        <v>4835.2</v>
      </c>
    </row>
    <row r="142" spans="1:13" s="65" customFormat="1" ht="12.75">
      <c r="A142" s="65" t="s">
        <v>167</v>
      </c>
      <c r="B142" s="65" t="s">
        <v>168</v>
      </c>
      <c r="D142" s="65" t="s">
        <v>169</v>
      </c>
      <c r="F142" s="65" t="s">
        <v>170</v>
      </c>
      <c r="G142" s="65" t="s">
        <v>171</v>
      </c>
      <c r="H142" s="65" t="s">
        <v>172</v>
      </c>
      <c r="J142" s="65" t="s">
        <v>173</v>
      </c>
      <c r="M142" s="65" t="s">
        <v>174</v>
      </c>
    </row>
    <row r="143" spans="8:9" s="65" customFormat="1" ht="12.75">
      <c r="H143" s="65" t="s">
        <v>175</v>
      </c>
      <c r="I143" s="65" t="s">
        <v>176</v>
      </c>
    </row>
    <row r="144" spans="8:13" s="65" customFormat="1" ht="12.75">
      <c r="H144" s="65" t="s">
        <v>170</v>
      </c>
      <c r="I144" s="65" t="s">
        <v>177</v>
      </c>
      <c r="M144" s="65" t="s">
        <v>178</v>
      </c>
    </row>
    <row r="145" spans="9:13" s="65" customFormat="1" ht="12.75">
      <c r="I145" s="65" t="s">
        <v>179</v>
      </c>
      <c r="M145" s="65" t="s">
        <v>158</v>
      </c>
    </row>
    <row r="146" spans="13:14" s="65" customFormat="1" ht="12.75">
      <c r="M146" s="73" t="s">
        <v>166</v>
      </c>
      <c r="N146" s="65">
        <v>739.9</v>
      </c>
    </row>
    <row r="147" spans="1:13" s="65" customFormat="1" ht="12.75">
      <c r="A147" s="65" t="s">
        <v>180</v>
      </c>
      <c r="B147" s="65" t="s">
        <v>181</v>
      </c>
      <c r="D147" s="65" t="s">
        <v>182</v>
      </c>
      <c r="M147" s="65" t="s">
        <v>174</v>
      </c>
    </row>
    <row r="148" spans="2:4" s="65" customFormat="1" ht="12.75">
      <c r="B148" s="65" t="s">
        <v>183</v>
      </c>
      <c r="D148" s="65" t="s">
        <v>184</v>
      </c>
    </row>
    <row r="149" spans="2:13" s="65" customFormat="1" ht="12.75">
      <c r="B149" s="65" t="s">
        <v>185</v>
      </c>
      <c r="D149" s="65" t="s">
        <v>186</v>
      </c>
      <c r="M149" s="65" t="s">
        <v>187</v>
      </c>
    </row>
    <row r="150" spans="2:13" s="65" customFormat="1" ht="12.75">
      <c r="B150" s="65" t="s">
        <v>188</v>
      </c>
      <c r="D150" s="65" t="s">
        <v>189</v>
      </c>
      <c r="M150" s="65" t="s">
        <v>158</v>
      </c>
    </row>
    <row r="151" spans="2:14" s="65" customFormat="1" ht="12.75">
      <c r="B151" s="65" t="s">
        <v>190</v>
      </c>
      <c r="M151" s="73" t="s">
        <v>166</v>
      </c>
      <c r="N151" s="65">
        <v>1257.8</v>
      </c>
    </row>
    <row r="152" spans="4:13" s="65" customFormat="1" ht="12.75">
      <c r="D152" s="65" t="s">
        <v>191</v>
      </c>
      <c r="M152" s="65" t="s">
        <v>174</v>
      </c>
    </row>
    <row r="153" spans="4:6" s="65" customFormat="1" ht="12.75">
      <c r="D153" s="65" t="s">
        <v>192</v>
      </c>
      <c r="F153" s="65" t="s">
        <v>193</v>
      </c>
    </row>
    <row r="154" spans="4:13" s="65" customFormat="1" ht="12.75">
      <c r="D154" s="65" t="s">
        <v>158</v>
      </c>
      <c r="F154" s="65" t="s">
        <v>194</v>
      </c>
      <c r="H154" s="65">
        <v>0.0687</v>
      </c>
      <c r="I154" s="65">
        <v>0</v>
      </c>
      <c r="K154" s="65">
        <f>N145/1000*H154</f>
        <v>0</v>
      </c>
      <c r="M154" s="65" t="s">
        <v>195</v>
      </c>
    </row>
    <row r="155" spans="4:13" s="65" customFormat="1" ht="12.75">
      <c r="D155" s="65" t="s">
        <v>196</v>
      </c>
      <c r="F155" s="65" t="s">
        <v>197</v>
      </c>
      <c r="H155" s="65">
        <v>0.0763</v>
      </c>
      <c r="I155" s="65">
        <v>0</v>
      </c>
      <c r="K155" s="65">
        <f>N146/1000*H155</f>
        <v>0.056454370000000004</v>
      </c>
      <c r="M155" s="65" t="s">
        <v>158</v>
      </c>
    </row>
    <row r="156" spans="4:13" s="65" customFormat="1" ht="12.75">
      <c r="D156" s="65" t="s">
        <v>198</v>
      </c>
      <c r="F156" s="65" t="s">
        <v>199</v>
      </c>
      <c r="H156" s="65">
        <v>0.0839</v>
      </c>
      <c r="I156" s="65">
        <v>0</v>
      </c>
      <c r="K156" s="69">
        <f>N147/1000*H156</f>
        <v>0</v>
      </c>
      <c r="M156" s="73" t="s">
        <v>166</v>
      </c>
    </row>
    <row r="157" spans="6:13" s="65" customFormat="1" ht="12.75">
      <c r="F157" s="65" t="s">
        <v>200</v>
      </c>
      <c r="M157" s="65" t="s">
        <v>174</v>
      </c>
    </row>
    <row r="158" s="65" customFormat="1" ht="12.75">
      <c r="F158" s="65" t="s">
        <v>190</v>
      </c>
    </row>
    <row r="159" spans="5:9" s="65" customFormat="1" ht="12.75">
      <c r="E159" s="65" t="s">
        <v>201</v>
      </c>
      <c r="I159" s="65">
        <v>0</v>
      </c>
    </row>
    <row r="160" spans="2:4" s="65" customFormat="1" ht="12.75">
      <c r="B160" s="65" t="s">
        <v>202</v>
      </c>
      <c r="D160" s="65" t="s">
        <v>203</v>
      </c>
    </row>
    <row r="161" s="65" customFormat="1" ht="12.75">
      <c r="D161" s="65" t="s">
        <v>204</v>
      </c>
    </row>
    <row r="162" s="65" customFormat="1" ht="12.75">
      <c r="D162" s="65" t="s">
        <v>205</v>
      </c>
    </row>
    <row r="163" s="65" customFormat="1" ht="12.75">
      <c r="D163" s="65" t="s">
        <v>191</v>
      </c>
    </row>
    <row r="164" spans="4:11" s="65" customFormat="1" ht="12.75">
      <c r="D164" s="65" t="s">
        <v>158</v>
      </c>
      <c r="H164" s="65">
        <v>0.00338</v>
      </c>
      <c r="K164" s="69">
        <f>N168/1000*H164</f>
        <v>0</v>
      </c>
    </row>
    <row r="165" spans="4:11" s="65" customFormat="1" ht="12.75">
      <c r="D165" s="65" t="s">
        <v>196</v>
      </c>
      <c r="H165" s="65">
        <v>0.00376</v>
      </c>
      <c r="K165" s="69">
        <f>N169/1000*H165</f>
        <v>0.018180351999999997</v>
      </c>
    </row>
    <row r="166" spans="4:11" s="65" customFormat="1" ht="12.75">
      <c r="D166" s="65" t="s">
        <v>198</v>
      </c>
      <c r="H166" s="65">
        <v>0.00414</v>
      </c>
      <c r="K166" s="69">
        <f>N170/1000*H166</f>
        <v>0</v>
      </c>
    </row>
    <row r="167" s="65" customFormat="1" ht="12.75">
      <c r="M167" s="65" t="s">
        <v>206</v>
      </c>
    </row>
    <row r="168" spans="1:13" s="65" customFormat="1" ht="12.75">
      <c r="A168" s="65" t="s">
        <v>207</v>
      </c>
      <c r="B168" s="65" t="s">
        <v>208</v>
      </c>
      <c r="D168" s="65" t="s">
        <v>203</v>
      </c>
      <c r="M168" s="65" t="s">
        <v>158</v>
      </c>
    </row>
    <row r="169" spans="4:14" s="65" customFormat="1" ht="12.75">
      <c r="D169" s="65" t="s">
        <v>209</v>
      </c>
      <c r="M169" s="73" t="s">
        <v>166</v>
      </c>
      <c r="N169" s="65">
        <f>N141</f>
        <v>4835.2</v>
      </c>
    </row>
    <row r="170" spans="4:13" s="65" customFormat="1" ht="12.75">
      <c r="D170" s="65" t="s">
        <v>191</v>
      </c>
      <c r="M170" s="65" t="s">
        <v>174</v>
      </c>
    </row>
    <row r="171" spans="4:11" s="65" customFormat="1" ht="12.75">
      <c r="D171" s="65" t="s">
        <v>158</v>
      </c>
      <c r="H171" s="65">
        <v>0.02043</v>
      </c>
      <c r="I171" s="65">
        <v>0</v>
      </c>
      <c r="K171" s="65">
        <f>N155/1000*H171</f>
        <v>0</v>
      </c>
    </row>
    <row r="172" spans="4:13" s="65" customFormat="1" ht="12.75">
      <c r="D172" s="65" t="s">
        <v>196</v>
      </c>
      <c r="H172" s="65">
        <v>0.0227</v>
      </c>
      <c r="I172" s="65">
        <v>0</v>
      </c>
      <c r="K172" s="65">
        <f>N156/1000*H172</f>
        <v>0</v>
      </c>
      <c r="M172" s="65" t="s">
        <v>210</v>
      </c>
    </row>
    <row r="173" spans="4:13" s="65" customFormat="1" ht="12.75">
      <c r="D173" s="65" t="s">
        <v>198</v>
      </c>
      <c r="H173" s="65">
        <v>0.02497</v>
      </c>
      <c r="I173" s="65">
        <v>0</v>
      </c>
      <c r="K173" s="65">
        <f>N157/1000*H173</f>
        <v>0</v>
      </c>
      <c r="M173" s="65" t="s">
        <v>158</v>
      </c>
    </row>
    <row r="174" spans="4:14" s="65" customFormat="1" ht="12.75">
      <c r="D174" s="65" t="s">
        <v>211</v>
      </c>
      <c r="M174" s="73" t="s">
        <v>166</v>
      </c>
      <c r="N174" s="65">
        <v>168</v>
      </c>
    </row>
    <row r="175" spans="4:13" s="65" customFormat="1" ht="12.75">
      <c r="D175" s="65" t="s">
        <v>191</v>
      </c>
      <c r="M175" s="65" t="s">
        <v>174</v>
      </c>
    </row>
    <row r="176" spans="4:6" s="65" customFormat="1" ht="12.75">
      <c r="D176" s="65" t="s">
        <v>192</v>
      </c>
      <c r="F176" s="65" t="s">
        <v>193</v>
      </c>
    </row>
    <row r="177" spans="4:11" s="65" customFormat="1" ht="12.75">
      <c r="D177" s="65" t="s">
        <v>158</v>
      </c>
      <c r="H177" s="65">
        <v>0.00999</v>
      </c>
      <c r="K177" s="69">
        <f>N140/1000*H177</f>
        <v>0</v>
      </c>
    </row>
    <row r="178" spans="4:11" s="65" customFormat="1" ht="12.75">
      <c r="D178" s="65" t="s">
        <v>196</v>
      </c>
      <c r="H178" s="65">
        <v>0.0111</v>
      </c>
      <c r="K178" s="69">
        <f>N141/1000*H178</f>
        <v>0.05367072</v>
      </c>
    </row>
    <row r="179" spans="4:11" s="65" customFormat="1" ht="12.75">
      <c r="D179" s="65" t="s">
        <v>198</v>
      </c>
      <c r="H179" s="65">
        <v>0.01221</v>
      </c>
      <c r="I179" s="65">
        <v>0</v>
      </c>
      <c r="K179" s="69">
        <f>N142/1000*H179</f>
        <v>0</v>
      </c>
    </row>
    <row r="180" s="65" customFormat="1" ht="12.75">
      <c r="I180" s="65">
        <v>0</v>
      </c>
    </row>
    <row r="181" spans="5:9" s="65" customFormat="1" ht="12.75">
      <c r="E181" s="65" t="s">
        <v>201</v>
      </c>
      <c r="G181" s="65">
        <v>0</v>
      </c>
      <c r="I181" s="65">
        <v>0</v>
      </c>
    </row>
    <row r="182" spans="1:6" s="65" customFormat="1" ht="12.75">
      <c r="A182" s="65" t="s">
        <v>212</v>
      </c>
      <c r="B182" s="65" t="s">
        <v>213</v>
      </c>
      <c r="D182" s="65" t="s">
        <v>203</v>
      </c>
      <c r="F182" s="65" t="s">
        <v>193</v>
      </c>
    </row>
    <row r="183" spans="2:6" s="65" customFormat="1" ht="12.75">
      <c r="B183" s="65" t="s">
        <v>214</v>
      </c>
      <c r="D183" s="65" t="s">
        <v>209</v>
      </c>
      <c r="F183" s="65" t="s">
        <v>215</v>
      </c>
    </row>
    <row r="184" spans="4:6" s="65" customFormat="1" ht="12.75">
      <c r="D184" s="65" t="s">
        <v>191</v>
      </c>
      <c r="F184" s="65" t="s">
        <v>216</v>
      </c>
    </row>
    <row r="185" spans="4:11" s="65" customFormat="1" ht="12.75">
      <c r="D185" s="65" t="s">
        <v>158</v>
      </c>
      <c r="H185" s="65">
        <v>0.018432</v>
      </c>
      <c r="I185" s="65">
        <v>0</v>
      </c>
      <c r="K185" s="65">
        <f>N155/1000*H185</f>
        <v>0</v>
      </c>
    </row>
    <row r="186" spans="4:11" s="65" customFormat="1" ht="12.75">
      <c r="D186" s="65" t="s">
        <v>196</v>
      </c>
      <c r="H186" s="65">
        <v>0.02048</v>
      </c>
      <c r="I186" s="65">
        <v>0</v>
      </c>
      <c r="K186" s="65">
        <f>N156/1000*H186</f>
        <v>0</v>
      </c>
    </row>
    <row r="187" spans="4:11" s="65" customFormat="1" ht="12.75">
      <c r="D187" s="65" t="s">
        <v>198</v>
      </c>
      <c r="K187" s="65">
        <f>N157/1000*H187</f>
        <v>0</v>
      </c>
    </row>
    <row r="188" s="65" customFormat="1" ht="12.75">
      <c r="D188" s="65" t="s">
        <v>211</v>
      </c>
    </row>
    <row r="189" s="65" customFormat="1" ht="12.75">
      <c r="D189" s="65" t="s">
        <v>191</v>
      </c>
    </row>
    <row r="190" s="65" customFormat="1" ht="12.75">
      <c r="D190" s="65" t="s">
        <v>192</v>
      </c>
    </row>
    <row r="191" spans="4:11" s="65" customFormat="1" ht="12.75">
      <c r="D191" s="65" t="s">
        <v>158</v>
      </c>
      <c r="K191" s="69">
        <f>N140/1000*H191</f>
        <v>0</v>
      </c>
    </row>
    <row r="192" spans="4:11" s="65" customFormat="1" ht="12.75">
      <c r="D192" s="65" t="s">
        <v>196</v>
      </c>
      <c r="H192" s="65">
        <v>0.02295</v>
      </c>
      <c r="I192" s="65">
        <v>0</v>
      </c>
      <c r="K192" s="69">
        <f>N141/1000*H192</f>
        <v>0.11096784</v>
      </c>
    </row>
    <row r="193" spans="4:11" s="65" customFormat="1" ht="12.75">
      <c r="D193" s="65" t="s">
        <v>198</v>
      </c>
      <c r="H193" s="65">
        <v>0.025245</v>
      </c>
      <c r="I193" s="65">
        <v>0</v>
      </c>
      <c r="K193" s="69">
        <f>N142/1000*H193</f>
        <v>0</v>
      </c>
    </row>
    <row r="194" spans="5:11" s="65" customFormat="1" ht="12.75">
      <c r="E194" s="65" t="s">
        <v>201</v>
      </c>
      <c r="G194" s="65">
        <v>0</v>
      </c>
      <c r="I194" s="65">
        <v>0</v>
      </c>
      <c r="K194" s="69"/>
    </row>
    <row r="195" s="65" customFormat="1" ht="12.75">
      <c r="K195" s="69"/>
    </row>
    <row r="196" spans="1:11" s="65" customFormat="1" ht="12.75">
      <c r="A196" s="65" t="s">
        <v>217</v>
      </c>
      <c r="B196" s="65" t="s">
        <v>218</v>
      </c>
      <c r="D196" s="65" t="s">
        <v>203</v>
      </c>
      <c r="K196" s="69"/>
    </row>
    <row r="197" spans="4:11" s="65" customFormat="1" ht="12.75">
      <c r="D197" s="65" t="s">
        <v>209</v>
      </c>
      <c r="K197" s="69"/>
    </row>
    <row r="198" spans="4:11" s="65" customFormat="1" ht="12.75">
      <c r="D198" s="65" t="s">
        <v>191</v>
      </c>
      <c r="K198" s="69"/>
    </row>
    <row r="199" spans="4:11" s="65" customFormat="1" ht="12.75">
      <c r="D199" s="65" t="s">
        <v>158</v>
      </c>
      <c r="H199" s="65">
        <v>0.027585</v>
      </c>
      <c r="I199" s="65">
        <v>0</v>
      </c>
      <c r="K199" s="69">
        <f>N155/1000*H199</f>
        <v>0</v>
      </c>
    </row>
    <row r="200" spans="4:11" s="65" customFormat="1" ht="12.75">
      <c r="D200" s="65" t="s">
        <v>196</v>
      </c>
      <c r="H200" s="65">
        <v>0.3065</v>
      </c>
      <c r="I200" s="65">
        <v>0</v>
      </c>
      <c r="K200" s="69">
        <f>N156/1000*H200</f>
        <v>0</v>
      </c>
    </row>
    <row r="201" spans="4:11" s="65" customFormat="1" ht="12.75">
      <c r="D201" s="65" t="s">
        <v>198</v>
      </c>
      <c r="K201" s="69">
        <f>N157/1000*H201</f>
        <v>0</v>
      </c>
    </row>
    <row r="202" spans="4:11" s="65" customFormat="1" ht="12.75">
      <c r="D202" s="65" t="s">
        <v>211</v>
      </c>
      <c r="K202" s="69"/>
    </row>
    <row r="203" spans="4:11" s="65" customFormat="1" ht="12.75">
      <c r="D203" s="65" t="s">
        <v>191</v>
      </c>
      <c r="K203" s="69"/>
    </row>
    <row r="204" spans="4:11" s="65" customFormat="1" ht="12.75">
      <c r="D204" s="65" t="s">
        <v>192</v>
      </c>
      <c r="K204" s="69"/>
    </row>
    <row r="205" spans="4:11" s="65" customFormat="1" ht="12.75">
      <c r="D205" s="65" t="s">
        <v>158</v>
      </c>
      <c r="K205" s="69">
        <f>N140/1000*H205</f>
        <v>0</v>
      </c>
    </row>
    <row r="206" spans="4:11" s="65" customFormat="1" ht="12.75">
      <c r="D206" s="65" t="s">
        <v>196</v>
      </c>
      <c r="H206" s="65">
        <v>0.00539</v>
      </c>
      <c r="I206" s="65">
        <v>0</v>
      </c>
      <c r="K206" s="69">
        <f>N141/1000*H206</f>
        <v>0.026061727999999996</v>
      </c>
    </row>
    <row r="207" spans="4:11" s="65" customFormat="1" ht="12.75">
      <c r="D207" s="65" t="s">
        <v>198</v>
      </c>
      <c r="H207" s="65">
        <v>0.005929</v>
      </c>
      <c r="I207" s="65">
        <v>0</v>
      </c>
      <c r="K207" s="69">
        <f>N142/1000*H207</f>
        <v>0</v>
      </c>
    </row>
    <row r="208" spans="5:11" s="65" customFormat="1" ht="12.75">
      <c r="E208" s="65" t="s">
        <v>201</v>
      </c>
      <c r="G208" s="65">
        <v>0</v>
      </c>
      <c r="I208" s="65">
        <v>0</v>
      </c>
      <c r="K208" s="69"/>
    </row>
    <row r="209" s="65" customFormat="1" ht="12.75">
      <c r="K209" s="69"/>
    </row>
    <row r="210" spans="1:11" s="65" customFormat="1" ht="12.75">
      <c r="A210" s="65" t="s">
        <v>219</v>
      </c>
      <c r="B210" s="65" t="s">
        <v>220</v>
      </c>
      <c r="D210" s="65" t="s">
        <v>203</v>
      </c>
      <c r="K210" s="69"/>
    </row>
    <row r="211" spans="2:11" s="65" customFormat="1" ht="12.75">
      <c r="B211" s="65" t="s">
        <v>214</v>
      </c>
      <c r="D211" s="65" t="s">
        <v>209</v>
      </c>
      <c r="K211" s="69"/>
    </row>
    <row r="212" spans="4:11" s="65" customFormat="1" ht="12.75">
      <c r="D212" s="65" t="s">
        <v>191</v>
      </c>
      <c r="K212" s="69"/>
    </row>
    <row r="213" spans="4:11" s="65" customFormat="1" ht="12.75">
      <c r="D213" s="65" t="s">
        <v>158</v>
      </c>
      <c r="H213" s="65">
        <v>0.022437</v>
      </c>
      <c r="I213" s="65">
        <v>0</v>
      </c>
      <c r="K213" s="69">
        <f>N155/1000*H213</f>
        <v>0</v>
      </c>
    </row>
    <row r="214" spans="4:11" s="65" customFormat="1" ht="12.75">
      <c r="D214" s="65" t="s">
        <v>196</v>
      </c>
      <c r="H214" s="65">
        <v>0.02493</v>
      </c>
      <c r="I214" s="65">
        <v>0</v>
      </c>
      <c r="K214" s="69">
        <f>N156/1000*H214</f>
        <v>0</v>
      </c>
    </row>
    <row r="215" spans="4:11" s="65" customFormat="1" ht="12.75">
      <c r="D215" s="65" t="s">
        <v>198</v>
      </c>
      <c r="K215" s="65">
        <f>N157/1000*H215</f>
        <v>0</v>
      </c>
    </row>
    <row r="216" s="65" customFormat="1" ht="12.75">
      <c r="D216" s="65" t="s">
        <v>211</v>
      </c>
    </row>
    <row r="217" s="65" customFormat="1" ht="12.75">
      <c r="D217" s="65" t="s">
        <v>191</v>
      </c>
    </row>
    <row r="218" s="65" customFormat="1" ht="12.75">
      <c r="D218" s="65" t="s">
        <v>192</v>
      </c>
    </row>
    <row r="219" spans="4:11" s="65" customFormat="1" ht="12.75">
      <c r="D219" s="65" t="s">
        <v>158</v>
      </c>
      <c r="K219" s="69">
        <f>N140/1000*H219</f>
        <v>0</v>
      </c>
    </row>
    <row r="220" spans="4:11" s="65" customFormat="1" ht="12.75">
      <c r="D220" s="65" t="s">
        <v>196</v>
      </c>
      <c r="H220" s="65">
        <v>0.00888</v>
      </c>
      <c r="I220" s="65">
        <v>0</v>
      </c>
      <c r="K220" s="69">
        <f>N141/1000*H220</f>
        <v>0.042936576</v>
      </c>
    </row>
    <row r="221" spans="4:11" s="65" customFormat="1" ht="12.75">
      <c r="D221" s="65" t="s">
        <v>198</v>
      </c>
      <c r="H221" s="65">
        <v>0.009768</v>
      </c>
      <c r="I221" s="65">
        <v>0</v>
      </c>
      <c r="K221" s="69">
        <f>N142/1000*H221</f>
        <v>0</v>
      </c>
    </row>
    <row r="222" spans="5:11" s="65" customFormat="1" ht="12.75">
      <c r="E222" s="65" t="s">
        <v>201</v>
      </c>
      <c r="G222" s="65">
        <v>0</v>
      </c>
      <c r="I222" s="65">
        <v>0</v>
      </c>
      <c r="K222" s="69"/>
    </row>
    <row r="223" s="65" customFormat="1" ht="12.75">
      <c r="K223" s="69"/>
    </row>
    <row r="224" spans="2:4" s="65" customFormat="1" ht="12.75">
      <c r="B224" s="65" t="s">
        <v>221</v>
      </c>
      <c r="D224" s="65" t="s">
        <v>203</v>
      </c>
    </row>
    <row r="225" s="65" customFormat="1" ht="12.75">
      <c r="D225" s="65" t="s">
        <v>204</v>
      </c>
    </row>
    <row r="226" s="65" customFormat="1" ht="12.75">
      <c r="D226" s="65" t="s">
        <v>205</v>
      </c>
    </row>
    <row r="227" s="65" customFormat="1" ht="12.75">
      <c r="D227" s="65" t="s">
        <v>191</v>
      </c>
    </row>
    <row r="228" spans="4:11" s="65" customFormat="1" ht="12.75">
      <c r="D228" s="65" t="s">
        <v>158</v>
      </c>
      <c r="H228" s="65">
        <v>0.0243</v>
      </c>
      <c r="K228" s="69">
        <f>N168/1000*H228</f>
        <v>0</v>
      </c>
    </row>
    <row r="229" spans="4:11" s="65" customFormat="1" ht="12.75">
      <c r="D229" s="65" t="s">
        <v>196</v>
      </c>
      <c r="H229" s="65">
        <v>0.027</v>
      </c>
      <c r="K229" s="69">
        <f>N169/1000*H229</f>
        <v>0.13055039999999998</v>
      </c>
    </row>
    <row r="230" spans="4:11" s="65" customFormat="1" ht="12.75">
      <c r="D230" s="65" t="s">
        <v>198</v>
      </c>
      <c r="H230" s="65">
        <v>0.0297</v>
      </c>
      <c r="K230" s="69">
        <f>N170/1000*H230</f>
        <v>0</v>
      </c>
    </row>
    <row r="231" spans="1:11" s="65" customFormat="1" ht="12.75">
      <c r="A231" s="65" t="s">
        <v>222</v>
      </c>
      <c r="B231" s="65" t="s">
        <v>223</v>
      </c>
      <c r="D231" s="65" t="s">
        <v>203</v>
      </c>
      <c r="K231" s="69"/>
    </row>
    <row r="232" spans="4:11" s="65" customFormat="1" ht="12.75">
      <c r="D232" s="65" t="s">
        <v>209</v>
      </c>
      <c r="K232" s="69"/>
    </row>
    <row r="233" spans="4:11" s="65" customFormat="1" ht="12.75">
      <c r="D233" s="65" t="s">
        <v>191</v>
      </c>
      <c r="K233" s="69"/>
    </row>
    <row r="234" spans="4:11" s="65" customFormat="1" ht="12.75">
      <c r="D234" s="65" t="s">
        <v>158</v>
      </c>
      <c r="H234" s="65">
        <v>0.01773</v>
      </c>
      <c r="I234" s="65">
        <v>0</v>
      </c>
      <c r="K234" s="69">
        <f>N155/1000*H234</f>
        <v>0</v>
      </c>
    </row>
    <row r="235" spans="4:11" s="65" customFormat="1" ht="12.75">
      <c r="D235" s="65" t="s">
        <v>196</v>
      </c>
      <c r="H235" s="65">
        <v>0.0197</v>
      </c>
      <c r="I235" s="65">
        <v>0</v>
      </c>
      <c r="K235" s="69">
        <f>N156/1000*H235</f>
        <v>0</v>
      </c>
    </row>
    <row r="236" spans="4:11" s="65" customFormat="1" ht="12.75">
      <c r="D236" s="65" t="s">
        <v>198</v>
      </c>
      <c r="K236" s="69">
        <f>N157/1000*H236</f>
        <v>0</v>
      </c>
    </row>
    <row r="237" spans="4:11" s="65" customFormat="1" ht="12.75">
      <c r="D237" s="65" t="s">
        <v>211</v>
      </c>
      <c r="K237" s="69"/>
    </row>
    <row r="238" spans="4:11" s="65" customFormat="1" ht="12.75">
      <c r="D238" s="65" t="s">
        <v>191</v>
      </c>
      <c r="K238" s="69"/>
    </row>
    <row r="239" spans="4:11" s="65" customFormat="1" ht="12.75">
      <c r="D239" s="65" t="s">
        <v>192</v>
      </c>
      <c r="K239" s="69"/>
    </row>
    <row r="240" spans="4:11" s="65" customFormat="1" ht="12.75">
      <c r="D240" s="65" t="s">
        <v>158</v>
      </c>
      <c r="K240" s="69">
        <f>N140/1000*H240</f>
        <v>0</v>
      </c>
    </row>
    <row r="241" spans="4:11" s="65" customFormat="1" ht="12.75">
      <c r="D241" s="65" t="s">
        <v>196</v>
      </c>
      <c r="H241" s="65">
        <v>0.0018</v>
      </c>
      <c r="I241" s="65">
        <v>0</v>
      </c>
      <c r="K241" s="69">
        <f>N141/1000*H241</f>
        <v>0.008703359999999999</v>
      </c>
    </row>
    <row r="242" spans="4:11" s="65" customFormat="1" ht="12.75">
      <c r="D242" s="65" t="s">
        <v>198</v>
      </c>
      <c r="H242" s="65">
        <v>0.00198</v>
      </c>
      <c r="I242" s="65">
        <v>0</v>
      </c>
      <c r="K242" s="69">
        <f>N142/1000*H242</f>
        <v>0</v>
      </c>
    </row>
    <row r="243" spans="5:11" s="65" customFormat="1" ht="12.75">
      <c r="E243" s="65" t="s">
        <v>201</v>
      </c>
      <c r="G243" s="65">
        <v>0</v>
      </c>
      <c r="I243" s="65">
        <v>0</v>
      </c>
      <c r="K243" s="69"/>
    </row>
    <row r="244" s="65" customFormat="1" ht="12.75">
      <c r="K244" s="69"/>
    </row>
    <row r="245" spans="2:7" s="65" customFormat="1" ht="12.75">
      <c r="B245" s="65" t="s">
        <v>224</v>
      </c>
      <c r="D245" s="65" t="s">
        <v>203</v>
      </c>
      <c r="G245" s="65" t="s">
        <v>225</v>
      </c>
    </row>
    <row r="246" spans="4:7" s="65" customFormat="1" ht="12.75">
      <c r="D246" s="65" t="s">
        <v>204</v>
      </c>
      <c r="G246" s="65" t="s">
        <v>226</v>
      </c>
    </row>
    <row r="247" spans="4:7" s="65" customFormat="1" ht="12.75">
      <c r="D247" s="65" t="s">
        <v>205</v>
      </c>
      <c r="G247" s="65" t="s">
        <v>227</v>
      </c>
    </row>
    <row r="248" s="65" customFormat="1" ht="12.75">
      <c r="D248" s="65" t="s">
        <v>191</v>
      </c>
    </row>
    <row r="249" spans="4:11" s="65" customFormat="1" ht="12.75">
      <c r="D249" s="65" t="s">
        <v>158</v>
      </c>
      <c r="H249" s="65">
        <v>0.02367</v>
      </c>
      <c r="K249" s="69">
        <f>N150/1000*H249</f>
        <v>0</v>
      </c>
    </row>
    <row r="250" spans="4:11" s="65" customFormat="1" ht="12.75">
      <c r="D250" s="65" t="s">
        <v>196</v>
      </c>
      <c r="H250" s="65">
        <v>0.0263</v>
      </c>
      <c r="K250" s="69">
        <f>N151/1000*H250</f>
        <v>0.03308014</v>
      </c>
    </row>
    <row r="251" spans="4:11" s="65" customFormat="1" ht="12.75">
      <c r="D251" s="65" t="s">
        <v>198</v>
      </c>
      <c r="H251" s="65">
        <v>0.02893</v>
      </c>
      <c r="K251" s="69">
        <f>N152/1000*H251</f>
        <v>0</v>
      </c>
    </row>
    <row r="252" s="65" customFormat="1" ht="12.75">
      <c r="K252" s="69"/>
    </row>
    <row r="253" spans="1:11" s="65" customFormat="1" ht="12.75">
      <c r="A253" s="65" t="s">
        <v>228</v>
      </c>
      <c r="B253" s="65" t="s">
        <v>229</v>
      </c>
      <c r="D253" s="65" t="s">
        <v>203</v>
      </c>
      <c r="K253" s="69"/>
    </row>
    <row r="254" spans="2:11" s="65" customFormat="1" ht="12.75">
      <c r="B254" s="65" t="s">
        <v>230</v>
      </c>
      <c r="D254" s="65" t="s">
        <v>209</v>
      </c>
      <c r="K254" s="69"/>
    </row>
    <row r="255" spans="4:11" s="65" customFormat="1" ht="12.75">
      <c r="D255" s="65" t="s">
        <v>191</v>
      </c>
      <c r="K255" s="69"/>
    </row>
    <row r="256" spans="4:11" s="65" customFormat="1" ht="12.75">
      <c r="D256" s="65" t="s">
        <v>158</v>
      </c>
      <c r="H256" s="65">
        <v>0.014679</v>
      </c>
      <c r="I256" s="65">
        <v>0</v>
      </c>
      <c r="K256" s="69">
        <f>N155/1000*H256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N156/1000*H257</f>
        <v>0</v>
      </c>
    </row>
    <row r="258" spans="4:11" s="65" customFormat="1" ht="12.75">
      <c r="D258" s="65" t="s">
        <v>198</v>
      </c>
      <c r="K258" s="69">
        <f>N157/1000*H258</f>
        <v>0</v>
      </c>
    </row>
    <row r="259" spans="4:11" s="65" customFormat="1" ht="12.75">
      <c r="D259" s="65" t="s">
        <v>211</v>
      </c>
      <c r="K259" s="69"/>
    </row>
    <row r="260" spans="4:11" s="65" customFormat="1" ht="12.75">
      <c r="D260" s="65" t="s">
        <v>191</v>
      </c>
      <c r="K260" s="69"/>
    </row>
    <row r="261" spans="4:11" s="65" customFormat="1" ht="12.75">
      <c r="D261" s="65" t="s">
        <v>192</v>
      </c>
      <c r="K261" s="69"/>
    </row>
    <row r="262" spans="4:11" s="65" customFormat="1" ht="12.75">
      <c r="D262" s="65" t="s">
        <v>158</v>
      </c>
      <c r="K262" s="69">
        <f>N140/1000*H262</f>
        <v>0</v>
      </c>
    </row>
    <row r="263" spans="4:11" s="65" customFormat="1" ht="12.75">
      <c r="D263" s="65" t="s">
        <v>196</v>
      </c>
      <c r="H263" s="65">
        <v>0.01631</v>
      </c>
      <c r="I263" s="65">
        <v>0</v>
      </c>
      <c r="K263" s="69">
        <f>N141/1000*H263</f>
        <v>0.078862112</v>
      </c>
    </row>
    <row r="264" spans="4:11" s="65" customFormat="1" ht="12.75">
      <c r="D264" s="65" t="s">
        <v>198</v>
      </c>
      <c r="H264" s="65">
        <v>0.017941</v>
      </c>
      <c r="I264" s="65">
        <v>0</v>
      </c>
      <c r="K264" s="69">
        <f>N142/1000*H264</f>
        <v>0</v>
      </c>
    </row>
    <row r="265" spans="5:11" s="65" customFormat="1" ht="12.75">
      <c r="E265" s="65" t="s">
        <v>201</v>
      </c>
      <c r="G265" s="65">
        <v>0</v>
      </c>
      <c r="I265" s="65">
        <v>0</v>
      </c>
      <c r="K265" s="69"/>
    </row>
    <row r="266" s="65" customFormat="1" ht="12.75">
      <c r="K266" s="69"/>
    </row>
    <row r="267" spans="1:11" s="65" customFormat="1" ht="12.75">
      <c r="A267" s="65" t="s">
        <v>231</v>
      </c>
      <c r="B267" s="65" t="s">
        <v>232</v>
      </c>
      <c r="D267" s="65" t="s">
        <v>203</v>
      </c>
      <c r="K267" s="69"/>
    </row>
    <row r="268" spans="2:11" s="65" customFormat="1" ht="12.75">
      <c r="B268" s="65" t="s">
        <v>233</v>
      </c>
      <c r="D268" s="65" t="s">
        <v>211</v>
      </c>
      <c r="K268" s="69"/>
    </row>
    <row r="269" spans="4:11" s="65" customFormat="1" ht="12.75">
      <c r="D269" s="65" t="s">
        <v>209</v>
      </c>
      <c r="K269" s="69"/>
    </row>
    <row r="270" spans="4:11" s="65" customFormat="1" ht="12.75">
      <c r="D270" s="65" t="s">
        <v>234</v>
      </c>
      <c r="K270" s="69"/>
    </row>
    <row r="271" spans="4:11" s="65" customFormat="1" ht="12.75">
      <c r="D271" s="65" t="s">
        <v>235</v>
      </c>
      <c r="F271" s="65" t="s">
        <v>236</v>
      </c>
      <c r="K271" s="69"/>
    </row>
    <row r="272" spans="4:11" s="65" customFormat="1" ht="12.75">
      <c r="D272" s="65" t="s">
        <v>191</v>
      </c>
      <c r="F272" s="65" t="s">
        <v>237</v>
      </c>
      <c r="K272" s="69"/>
    </row>
    <row r="273" spans="4:11" s="65" customFormat="1" ht="12.75">
      <c r="D273" s="65" t="s">
        <v>158</v>
      </c>
      <c r="H273" s="65">
        <v>41000</v>
      </c>
      <c r="I273" s="65">
        <v>0</v>
      </c>
      <c r="K273" s="69">
        <f>N168/H273</f>
        <v>0</v>
      </c>
    </row>
    <row r="274" spans="4:11" s="65" customFormat="1" ht="12.75">
      <c r="D274" s="65" t="s">
        <v>196</v>
      </c>
      <c r="H274" s="65">
        <v>39000</v>
      </c>
      <c r="I274" s="65">
        <v>0</v>
      </c>
      <c r="K274" s="69">
        <f>N169/H274</f>
        <v>0.12397948717948717</v>
      </c>
    </row>
    <row r="275" spans="4:11" s="65" customFormat="1" ht="12.75">
      <c r="D275" s="65" t="s">
        <v>198</v>
      </c>
      <c r="H275" s="65">
        <v>37000</v>
      </c>
      <c r="I275" s="65">
        <v>0</v>
      </c>
      <c r="K275" s="69">
        <f>N170/H275</f>
        <v>0</v>
      </c>
    </row>
    <row r="276" s="65" customFormat="1" ht="12.75">
      <c r="K276" s="69"/>
    </row>
    <row r="277" spans="4:11" s="65" customFormat="1" ht="12.75">
      <c r="D277" s="65" t="s">
        <v>238</v>
      </c>
      <c r="K277" s="69"/>
    </row>
    <row r="278" spans="4:11" s="65" customFormat="1" ht="12.75">
      <c r="D278" s="65" t="s">
        <v>239</v>
      </c>
      <c r="F278" s="65" t="s">
        <v>240</v>
      </c>
      <c r="K278" s="69"/>
    </row>
    <row r="279" spans="4:11" s="65" customFormat="1" ht="12.75">
      <c r="D279" s="65" t="s">
        <v>191</v>
      </c>
      <c r="K279" s="69"/>
    </row>
    <row r="280" spans="4:11" s="65" customFormat="1" ht="12.75">
      <c r="D280" s="65" t="s">
        <v>158</v>
      </c>
      <c r="H280" s="65">
        <v>450</v>
      </c>
      <c r="I280" s="65">
        <v>0</v>
      </c>
      <c r="K280" s="69">
        <f>N173/H280</f>
        <v>0</v>
      </c>
    </row>
    <row r="281" spans="4:11" s="65" customFormat="1" ht="12.75">
      <c r="D281" s="65" t="s">
        <v>196</v>
      </c>
      <c r="H281" s="65">
        <v>375</v>
      </c>
      <c r="I281" s="65">
        <v>0</v>
      </c>
      <c r="K281" s="69">
        <f>N174/H281</f>
        <v>0.448</v>
      </c>
    </row>
    <row r="282" spans="4:11" s="65" customFormat="1" ht="12.75">
      <c r="D282" s="65" t="s">
        <v>198</v>
      </c>
      <c r="H282" s="65">
        <v>310</v>
      </c>
      <c r="I282" s="65">
        <v>0</v>
      </c>
      <c r="K282" s="69">
        <f>N175/H282</f>
        <v>0</v>
      </c>
    </row>
    <row r="283" spans="5:11" s="65" customFormat="1" ht="12.75">
      <c r="E283" s="65" t="s">
        <v>201</v>
      </c>
      <c r="G283" s="65">
        <v>0</v>
      </c>
      <c r="I283" s="65">
        <v>0</v>
      </c>
      <c r="K283" s="69"/>
    </row>
    <row r="284" s="65" customFormat="1" ht="12.75">
      <c r="K284" s="69"/>
    </row>
    <row r="285" spans="1:11" s="65" customFormat="1" ht="12.75">
      <c r="A285" s="65" t="s">
        <v>241</v>
      </c>
      <c r="B285" s="65" t="s">
        <v>242</v>
      </c>
      <c r="D285" s="65" t="s">
        <v>243</v>
      </c>
      <c r="K285" s="69"/>
    </row>
    <row r="286" spans="4:11" s="65" customFormat="1" ht="12.75">
      <c r="D286" s="65" t="s">
        <v>244</v>
      </c>
      <c r="F286" s="65" t="s">
        <v>240</v>
      </c>
      <c r="K286" s="69"/>
    </row>
    <row r="287" spans="4:11" s="65" customFormat="1" ht="12.75">
      <c r="D287" s="65" t="s">
        <v>245</v>
      </c>
      <c r="K287" s="69"/>
    </row>
    <row r="288" spans="4:11" s="65" customFormat="1" ht="12.75">
      <c r="D288" s="65" t="s">
        <v>158</v>
      </c>
      <c r="H288" s="65">
        <v>2350</v>
      </c>
      <c r="I288" s="65">
        <v>0</v>
      </c>
      <c r="K288" s="69">
        <f>N173/H288</f>
        <v>0</v>
      </c>
    </row>
    <row r="289" spans="4:11" s="65" customFormat="1" ht="12.75">
      <c r="D289" s="65" t="s">
        <v>196</v>
      </c>
      <c r="H289" s="65">
        <v>2250</v>
      </c>
      <c r="I289" s="65">
        <v>0</v>
      </c>
      <c r="K289" s="69">
        <f>N174/H289</f>
        <v>0.07466666666666667</v>
      </c>
    </row>
    <row r="290" spans="4:11" s="65" customFormat="1" ht="12.75">
      <c r="D290" s="65" t="s">
        <v>198</v>
      </c>
      <c r="H290" s="65">
        <v>2200</v>
      </c>
      <c r="I290" s="65">
        <v>0</v>
      </c>
      <c r="K290" s="69">
        <f>N175/H290</f>
        <v>0</v>
      </c>
    </row>
    <row r="291" spans="5:11" s="65" customFormat="1" ht="12.75">
      <c r="E291" s="65" t="s">
        <v>201</v>
      </c>
      <c r="G291" s="65">
        <v>0</v>
      </c>
      <c r="I291" s="65">
        <v>0</v>
      </c>
      <c r="K291" s="69"/>
    </row>
    <row r="292" s="65" customFormat="1" ht="12.75">
      <c r="K292" s="69">
        <f>K154+K155+K156+K164+K165+K166+K171+K172+K173+K177+K178+K179+K185+K186+K187+K191+K192+K193+K199+K200+K201+K205+K206+K207+K213+K214+K215+K219+K220+K221+K228+K229+K230+K234+K235+K236+K240+K241+K242+K249+K250+K251+K256+K257+K258+K262+K263+K264+K273+K274+K275+K280+K281+K282+K288+K289+K290</f>
        <v>1.2061137518461538</v>
      </c>
    </row>
    <row r="293" spans="1:11" s="65" customFormat="1" ht="12.75">
      <c r="A293" s="65" t="s">
        <v>246</v>
      </c>
      <c r="B293" s="65" t="s">
        <v>247</v>
      </c>
      <c r="F293" s="65" t="s">
        <v>248</v>
      </c>
      <c r="I293" s="65">
        <v>1</v>
      </c>
      <c r="K293" s="69">
        <f>K292*1.12</f>
        <v>1.3508474020676924</v>
      </c>
    </row>
    <row r="294" s="65" customFormat="1" ht="12.75">
      <c r="B294" s="65" t="s">
        <v>249</v>
      </c>
    </row>
    <row r="295" s="65" customFormat="1" ht="12.75">
      <c r="B295" s="65" t="s">
        <v>250</v>
      </c>
    </row>
    <row r="296" s="65" customFormat="1" ht="12.75"/>
    <row r="297" spans="1:9" s="65" customFormat="1" ht="12.75">
      <c r="A297" s="65" t="s">
        <v>251</v>
      </c>
      <c r="B297" s="65" t="s">
        <v>252</v>
      </c>
      <c r="I297" s="65">
        <v>2</v>
      </c>
    </row>
    <row r="298" spans="1:9" s="65" customFormat="1" ht="12.75">
      <c r="A298" s="65" t="s">
        <v>253</v>
      </c>
      <c r="B298" s="65" t="s">
        <v>254</v>
      </c>
      <c r="I298" s="65">
        <v>1</v>
      </c>
    </row>
    <row r="299" spans="1:9" s="65" customFormat="1" ht="12.75">
      <c r="A299" s="65" t="s">
        <v>255</v>
      </c>
      <c r="B299" s="65" t="s">
        <v>256</v>
      </c>
      <c r="I299" s="65">
        <v>1</v>
      </c>
    </row>
    <row r="300" spans="2:9" s="65" customFormat="1" ht="12.75">
      <c r="B300" s="65" t="s">
        <v>257</v>
      </c>
      <c r="I300" s="65">
        <v>5</v>
      </c>
    </row>
    <row r="301" s="65" customFormat="1" ht="12.75">
      <c r="F301" s="65" t="s">
        <v>258</v>
      </c>
    </row>
    <row r="302" spans="1:9" s="65" customFormat="1" ht="12.75">
      <c r="A302" s="65" t="s">
        <v>259</v>
      </c>
      <c r="B302" s="65" t="s">
        <v>260</v>
      </c>
      <c r="E302" s="65" t="s">
        <v>261</v>
      </c>
      <c r="H302" s="65">
        <v>1200</v>
      </c>
      <c r="I302" s="78">
        <f>G302/H302</f>
        <v>0</v>
      </c>
    </row>
    <row r="303" spans="5:9" s="65" customFormat="1" ht="12.75">
      <c r="E303" s="65" t="s">
        <v>262</v>
      </c>
      <c r="G303" s="65">
        <v>1200</v>
      </c>
      <c r="H303" s="65">
        <v>1650</v>
      </c>
      <c r="I303" s="78">
        <f>G303/H303</f>
        <v>0.7272727272727273</v>
      </c>
    </row>
    <row r="304" spans="5:9" s="65" customFormat="1" ht="12.75">
      <c r="E304" s="65" t="s">
        <v>263</v>
      </c>
      <c r="G304" s="65">
        <v>3788</v>
      </c>
      <c r="H304" s="65">
        <v>9000</v>
      </c>
      <c r="I304" s="78">
        <f>G304/H304</f>
        <v>0.42088888888888887</v>
      </c>
    </row>
    <row r="305" spans="3:9" s="65" customFormat="1" ht="12.75">
      <c r="C305" s="65" t="s">
        <v>201</v>
      </c>
      <c r="G305" s="65">
        <f>G302+G304</f>
        <v>3788</v>
      </c>
      <c r="I305" s="78">
        <f>I302+I303+I304</f>
        <v>1.1481616161616162</v>
      </c>
    </row>
    <row r="306" spans="6:9" s="65" customFormat="1" ht="12.75">
      <c r="F306" s="65" t="s">
        <v>258</v>
      </c>
      <c r="I306" s="78"/>
    </row>
    <row r="307" spans="1:9" s="65" customFormat="1" ht="12.75">
      <c r="A307" s="65" t="s">
        <v>264</v>
      </c>
      <c r="B307" s="65" t="s">
        <v>265</v>
      </c>
      <c r="E307" s="65" t="s">
        <v>266</v>
      </c>
      <c r="H307" s="65">
        <v>800</v>
      </c>
      <c r="I307" s="78">
        <f>G307/H307</f>
        <v>0</v>
      </c>
    </row>
    <row r="308" spans="2:9" s="65" customFormat="1" ht="12.75">
      <c r="B308" s="65" t="s">
        <v>267</v>
      </c>
      <c r="E308" s="65" t="s">
        <v>268</v>
      </c>
      <c r="G308" s="65">
        <v>980</v>
      </c>
      <c r="H308" s="65">
        <v>960</v>
      </c>
      <c r="I308" s="78">
        <f>G308/H308</f>
        <v>1.0208333333333333</v>
      </c>
    </row>
    <row r="309" spans="5:9" s="65" customFormat="1" ht="12.75">
      <c r="E309" s="65" t="s">
        <v>269</v>
      </c>
      <c r="I309" s="78"/>
    </row>
    <row r="310" spans="3:9" s="65" customFormat="1" ht="12.75">
      <c r="C310" s="65" t="s">
        <v>201</v>
      </c>
      <c r="G310" s="65">
        <f>G307+G308+G309</f>
        <v>980</v>
      </c>
      <c r="I310" s="78">
        <f>I307+I308</f>
        <v>1.0208333333333333</v>
      </c>
    </row>
    <row r="311" spans="6:9" s="65" customFormat="1" ht="12.75">
      <c r="F311" s="65" t="s">
        <v>270</v>
      </c>
      <c r="I311" s="78"/>
    </row>
    <row r="312" spans="1:9" s="65" customFormat="1" ht="12.75">
      <c r="A312" s="65" t="s">
        <v>271</v>
      </c>
      <c r="B312" s="65" t="s">
        <v>272</v>
      </c>
      <c r="E312" s="65" t="s">
        <v>273</v>
      </c>
      <c r="H312" s="65">
        <v>500</v>
      </c>
      <c r="I312" s="78">
        <f>G312/H312</f>
        <v>0</v>
      </c>
    </row>
    <row r="313" spans="5:9" s="65" customFormat="1" ht="12.75">
      <c r="E313" s="65" t="s">
        <v>274</v>
      </c>
      <c r="G313" s="65">
        <v>300</v>
      </c>
      <c r="H313" s="65">
        <v>700</v>
      </c>
      <c r="I313" s="78">
        <f>G313/H313</f>
        <v>0.42857142857142855</v>
      </c>
    </row>
    <row r="314" spans="5:9" s="65" customFormat="1" ht="12.75">
      <c r="E314" s="65" t="s">
        <v>275</v>
      </c>
      <c r="I314" s="78"/>
    </row>
    <row r="315" spans="3:9" s="65" customFormat="1" ht="12.75">
      <c r="C315" s="65" t="s">
        <v>201</v>
      </c>
      <c r="G315" s="65">
        <v>0</v>
      </c>
      <c r="I315" s="78">
        <f>I312+I313</f>
        <v>0.42857142857142855</v>
      </c>
    </row>
    <row r="316" spans="1:2" s="65" customFormat="1" ht="12.75">
      <c r="A316" s="65" t="s">
        <v>276</v>
      </c>
      <c r="B316" s="65" t="s">
        <v>277</v>
      </c>
    </row>
    <row r="317" spans="2:9" s="65" customFormat="1" ht="12.75">
      <c r="B317" s="65" t="s">
        <v>278</v>
      </c>
      <c r="I317" s="65">
        <v>2</v>
      </c>
    </row>
    <row r="318" s="65" customFormat="1" ht="12.75"/>
  </sheetData>
  <sheetProtection/>
  <mergeCells count="52">
    <mergeCell ref="A114:G114"/>
    <mergeCell ref="A118:E118"/>
    <mergeCell ref="A120:G120"/>
    <mergeCell ref="A124:D124"/>
    <mergeCell ref="C105:I105"/>
    <mergeCell ref="C80:D80"/>
    <mergeCell ref="A83:F83"/>
    <mergeCell ref="A84:G84"/>
    <mergeCell ref="A85:D85"/>
    <mergeCell ref="E85:G85"/>
    <mergeCell ref="A86:E86"/>
    <mergeCell ref="A64:E64"/>
    <mergeCell ref="A65:G65"/>
    <mergeCell ref="A66:G66"/>
    <mergeCell ref="A72:D72"/>
    <mergeCell ref="A73:F73"/>
    <mergeCell ref="A76:E76"/>
    <mergeCell ref="A50:F50"/>
    <mergeCell ref="A51:F51"/>
    <mergeCell ref="A52:G52"/>
    <mergeCell ref="A53:G53"/>
    <mergeCell ref="A59:F59"/>
    <mergeCell ref="A63:G63"/>
    <mergeCell ref="A41:G41"/>
    <mergeCell ref="A42:G42"/>
    <mergeCell ref="A43:G43"/>
    <mergeCell ref="A44:G44"/>
    <mergeCell ref="A45:F45"/>
    <mergeCell ref="A46:F46"/>
    <mergeCell ref="A35:G35"/>
    <mergeCell ref="A36:G36"/>
    <mergeCell ref="A37:G37"/>
    <mergeCell ref="A38:G38"/>
    <mergeCell ref="A39:D39"/>
    <mergeCell ref="A40:G40"/>
    <mergeCell ref="A28:G28"/>
    <mergeCell ref="A29:G29"/>
    <mergeCell ref="A30:G30"/>
    <mergeCell ref="A31:G31"/>
    <mergeCell ref="A32:E32"/>
    <mergeCell ref="A34:G34"/>
    <mergeCell ref="A19:F19"/>
    <mergeCell ref="A20:F20"/>
    <mergeCell ref="A21:F21"/>
    <mergeCell ref="A25:F25"/>
    <mergeCell ref="A26:G26"/>
    <mergeCell ref="A27:G27"/>
    <mergeCell ref="A1:K1"/>
    <mergeCell ref="A2:K2"/>
    <mergeCell ref="A4:K5"/>
    <mergeCell ref="A6:K6"/>
    <mergeCell ref="A15:G15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N88:N89 H114 H120 K114" evalError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Q317"/>
  <sheetViews>
    <sheetView zoomScalePageLayoutView="0" workbookViewId="0" topLeftCell="A1">
      <selection activeCell="H120" sqref="H120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2812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7" width="9.140625" style="65" customWidth="1"/>
    <col min="18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869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4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65">
        <f>11.18*1.042</f>
        <v>11.64956</v>
      </c>
      <c r="N5" s="65">
        <f>M5*0.04</f>
        <v>0.46598239999999996</v>
      </c>
    </row>
    <row r="6" spans="1:14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65">
        <f>11.18*1.042</f>
        <v>11.64956</v>
      </c>
      <c r="N6" s="65">
        <f>M6*0.04</f>
        <v>0.46598239999999996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7" s="9" customFormat="1" ht="15.75">
      <c r="A11" s="11"/>
      <c r="B11" s="11"/>
      <c r="C11" s="12"/>
      <c r="D11" s="11"/>
      <c r="K11" s="5"/>
      <c r="L11" s="67"/>
      <c r="M11" s="67"/>
      <c r="N11" s="67"/>
      <c r="O11" s="67"/>
      <c r="P11" s="67"/>
      <c r="Q11" s="67"/>
    </row>
    <row r="12" spans="1:17" s="9" customFormat="1" ht="15.75">
      <c r="A12" s="11" t="s">
        <v>69</v>
      </c>
      <c r="B12" s="11"/>
      <c r="C12" s="12"/>
      <c r="D12" s="11"/>
      <c r="E12" s="9">
        <v>51475.415</v>
      </c>
      <c r="F12" s="9" t="s">
        <v>70</v>
      </c>
      <c r="H12" s="13"/>
      <c r="I12" s="13"/>
      <c r="K12" s="13"/>
      <c r="L12" s="67"/>
      <c r="M12" s="67"/>
      <c r="N12" s="67"/>
      <c r="O12" s="67"/>
      <c r="P12" s="67"/>
      <c r="Q12" s="67"/>
    </row>
    <row r="13" spans="1:17" s="9" customFormat="1" ht="15.75">
      <c r="A13" s="11"/>
      <c r="B13" s="11"/>
      <c r="C13" s="12"/>
      <c r="D13" s="11"/>
      <c r="H13" s="13"/>
      <c r="I13" s="13"/>
      <c r="K13" s="13"/>
      <c r="L13" s="67"/>
      <c r="M13" s="67"/>
      <c r="N13" s="67"/>
      <c r="O13" s="67"/>
      <c r="P13" s="67"/>
      <c r="Q13" s="67"/>
    </row>
    <row r="14" spans="3:17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  <c r="Q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K17+K32+K56+K72+K79+K89+K48</f>
        <v>58343.9125018122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H19+H20+H21+H23+H25+H26+H28+H29+H30</f>
        <v>12279.576111027598</v>
      </c>
      <c r="M17" s="65" t="s">
        <v>76</v>
      </c>
      <c r="O17" s="78">
        <f>I305</f>
        <v>1.0740606060606062</v>
      </c>
    </row>
    <row r="18" spans="1:15" ht="12.75">
      <c r="A18" s="22" t="s">
        <v>311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78">
        <f>I310</f>
        <v>1.0208333333333333</v>
      </c>
    </row>
    <row r="19" spans="1:15" ht="12.75">
      <c r="A19" s="113" t="s">
        <v>384</v>
      </c>
      <c r="B19" s="113"/>
      <c r="C19" s="113"/>
      <c r="D19" s="113"/>
      <c r="E19" s="113"/>
      <c r="F19" s="113"/>
      <c r="G19" s="22"/>
      <c r="H19" s="23">
        <f>O17*2600*1.75*1.07</f>
        <v>5229.0640606060615</v>
      </c>
      <c r="I19" s="22"/>
      <c r="J19" s="22"/>
      <c r="K19" s="23"/>
      <c r="M19" s="65" t="s">
        <v>80</v>
      </c>
      <c r="O19" s="78">
        <f>I315</f>
        <v>0.44285714285714284</v>
      </c>
    </row>
    <row r="20" spans="1:15" ht="12.75">
      <c r="A20" s="113" t="s">
        <v>840</v>
      </c>
      <c r="B20" s="113"/>
      <c r="C20" s="113"/>
      <c r="D20" s="113"/>
      <c r="E20" s="113"/>
      <c r="F20" s="113"/>
      <c r="G20" s="22"/>
      <c r="H20" s="23">
        <f>O19*2600*1.5*1.07</f>
        <v>1848.042857142857</v>
      </c>
      <c r="I20" s="22"/>
      <c r="J20" s="22"/>
      <c r="K20" s="23"/>
      <c r="M20" s="65" t="s">
        <v>314</v>
      </c>
      <c r="O20" s="65">
        <v>4322</v>
      </c>
    </row>
    <row r="21" spans="1:15" ht="12.75">
      <c r="A21" s="113" t="s">
        <v>841</v>
      </c>
      <c r="B21" s="113"/>
      <c r="C21" s="113"/>
      <c r="D21" s="113"/>
      <c r="E21" s="113"/>
      <c r="F21" s="113"/>
      <c r="G21" s="22"/>
      <c r="H21" s="23">
        <f>O18*2203*1.3*1.07</f>
        <v>3128.2141041666664</v>
      </c>
      <c r="I21" s="22"/>
      <c r="J21" s="22"/>
      <c r="K21" s="23"/>
      <c r="M21" s="65" t="s">
        <v>83</v>
      </c>
      <c r="O21" s="65">
        <v>310</v>
      </c>
    </row>
    <row r="22" spans="1:13" ht="12.75" hidden="1">
      <c r="A22" s="22"/>
      <c r="B22" s="22"/>
      <c r="C22" s="22"/>
      <c r="D22" s="22"/>
      <c r="E22" s="22"/>
      <c r="F22" s="22"/>
      <c r="G22" s="22"/>
      <c r="H22" s="23"/>
      <c r="I22" s="22"/>
      <c r="J22" s="22"/>
      <c r="M22" s="65" t="s">
        <v>316</v>
      </c>
    </row>
    <row r="23" spans="1:16" ht="12.75">
      <c r="A23" s="23">
        <f>H19+H20+H21</f>
        <v>10205.321021915584</v>
      </c>
      <c r="B23" s="22" t="s">
        <v>84</v>
      </c>
      <c r="C23" s="22"/>
      <c r="D23" s="22"/>
      <c r="E23" s="22"/>
      <c r="F23" s="22"/>
      <c r="G23" s="22"/>
      <c r="H23" s="23">
        <f>(H19+H20+H21)*14.2%</f>
        <v>1449.155585112013</v>
      </c>
      <c r="I23" s="22"/>
      <c r="J23" s="22">
        <v>781740.1</v>
      </c>
      <c r="K23" s="25"/>
      <c r="L23" s="70"/>
      <c r="M23" s="65" t="s">
        <v>85</v>
      </c>
      <c r="P23" s="65">
        <f>O23/2</f>
        <v>0</v>
      </c>
    </row>
    <row r="24" spans="1:16" ht="12.75">
      <c r="A24" s="22" t="s">
        <v>86</v>
      </c>
      <c r="B24" s="22"/>
      <c r="C24" s="22"/>
      <c r="D24" s="22"/>
      <c r="E24" s="22"/>
      <c r="F24" s="22"/>
      <c r="G24" s="22"/>
      <c r="H24" s="23"/>
      <c r="I24" s="22"/>
      <c r="J24" s="22">
        <v>113966.82</v>
      </c>
      <c r="K24" s="23"/>
      <c r="N24" s="65">
        <v>9</v>
      </c>
      <c r="O24" s="65">
        <v>6</v>
      </c>
      <c r="P24" s="65">
        <f>O24/2</f>
        <v>3</v>
      </c>
    </row>
    <row r="25" spans="1:16" ht="12.75">
      <c r="A25" s="113" t="s">
        <v>870</v>
      </c>
      <c r="B25" s="113"/>
      <c r="C25" s="113"/>
      <c r="D25" s="113"/>
      <c r="E25" s="113"/>
      <c r="F25" s="113"/>
      <c r="G25" s="22"/>
      <c r="H25" s="23">
        <f>0.057*O20</f>
        <v>246.354</v>
      </c>
      <c r="I25" s="23"/>
      <c r="J25" s="22"/>
      <c r="K25" s="23"/>
      <c r="N25" s="65">
        <v>10</v>
      </c>
      <c r="P25" s="65">
        <f>O25/2</f>
        <v>0</v>
      </c>
    </row>
    <row r="26" spans="1:14" ht="12.75">
      <c r="A26" s="113" t="s">
        <v>871</v>
      </c>
      <c r="B26" s="113"/>
      <c r="C26" s="113"/>
      <c r="D26" s="113"/>
      <c r="E26" s="113"/>
      <c r="F26" s="113"/>
      <c r="G26" s="113"/>
      <c r="H26" s="23">
        <f>0.0085*O20</f>
        <v>36.737</v>
      </c>
      <c r="I26" s="23"/>
      <c r="J26" s="22"/>
      <c r="K26" s="23"/>
      <c r="N26" s="65">
        <v>16</v>
      </c>
    </row>
    <row r="27" spans="1:11" ht="12.75">
      <c r="A27" s="113" t="s">
        <v>872</v>
      </c>
      <c r="B27" s="113"/>
      <c r="C27" s="113"/>
      <c r="D27" s="113"/>
      <c r="E27" s="113"/>
      <c r="F27" s="113"/>
      <c r="G27" s="113"/>
      <c r="H27" s="23">
        <f>0.0018*O20</f>
        <v>7.779599999999999</v>
      </c>
      <c r="I27" s="23"/>
      <c r="J27" s="22"/>
      <c r="K27" s="23"/>
    </row>
    <row r="28" spans="1:13" ht="12.75">
      <c r="A28" s="113" t="s">
        <v>873</v>
      </c>
      <c r="B28" s="113"/>
      <c r="C28" s="113"/>
      <c r="D28" s="113"/>
      <c r="E28" s="113"/>
      <c r="F28" s="113"/>
      <c r="G28" s="113"/>
      <c r="H28" s="23">
        <f>O20*0.005</f>
        <v>21.61</v>
      </c>
      <c r="I28" s="22"/>
      <c r="J28" s="22"/>
      <c r="K28" s="23"/>
      <c r="M28" s="65" t="s">
        <v>90</v>
      </c>
    </row>
    <row r="29" spans="1:15" ht="12.75">
      <c r="A29" s="113" t="s">
        <v>874</v>
      </c>
      <c r="B29" s="113"/>
      <c r="C29" s="113"/>
      <c r="D29" s="113"/>
      <c r="E29" s="113"/>
      <c r="F29" s="113"/>
      <c r="G29" s="113"/>
      <c r="H29" s="23">
        <f>O20*0.017</f>
        <v>73.474</v>
      </c>
      <c r="I29" s="22"/>
      <c r="J29" s="22">
        <v>13606.82</v>
      </c>
      <c r="K29" s="23"/>
      <c r="M29" s="65" t="s">
        <v>92</v>
      </c>
      <c r="O29" s="65">
        <v>57</v>
      </c>
    </row>
    <row r="30" spans="1:15" ht="12.75">
      <c r="A30" s="113" t="s">
        <v>875</v>
      </c>
      <c r="B30" s="113"/>
      <c r="C30" s="113"/>
      <c r="D30" s="113"/>
      <c r="E30" s="113"/>
      <c r="F30" s="113"/>
      <c r="G30" s="113"/>
      <c r="H30" s="23">
        <f>0.054*O20*1.058</f>
        <v>246.924504</v>
      </c>
      <c r="I30" s="22"/>
      <c r="J30" s="22"/>
      <c r="K30" s="23"/>
      <c r="M30" s="65" t="s">
        <v>94</v>
      </c>
      <c r="O30" s="65">
        <v>2318</v>
      </c>
    </row>
    <row r="31" spans="1:11" ht="12.75">
      <c r="A31" s="113"/>
      <c r="B31" s="113"/>
      <c r="C31" s="113"/>
      <c r="D31" s="113"/>
      <c r="E31" s="113"/>
      <c r="F31" s="113"/>
      <c r="G31" s="113"/>
      <c r="H31" s="23"/>
      <c r="I31" s="22"/>
      <c r="J31" s="22"/>
      <c r="K31" s="23"/>
    </row>
    <row r="32" spans="1:15" ht="15.75">
      <c r="A32" s="110" t="s">
        <v>95</v>
      </c>
      <c r="B32" s="110"/>
      <c r="C32" s="110"/>
      <c r="D32" s="110"/>
      <c r="E32" s="110"/>
      <c r="F32" s="20"/>
      <c r="G32" s="20"/>
      <c r="H32" s="27"/>
      <c r="I32" s="20"/>
      <c r="J32" s="20"/>
      <c r="K32" s="21">
        <f>H34+H35+H36+H37+H38+H39+H40+H41+H42+H43+H44+H45+H46</f>
        <v>13053.252400000003</v>
      </c>
      <c r="M32" s="65" t="s">
        <v>96</v>
      </c>
      <c r="O32" s="69">
        <f>K293</f>
        <v>1.3629245940225643</v>
      </c>
    </row>
    <row r="33" spans="1:11" ht="12.75">
      <c r="A33" s="22"/>
      <c r="B33" s="22" t="s">
        <v>64</v>
      </c>
      <c r="C33" s="22"/>
      <c r="D33" s="22"/>
      <c r="E33" s="22"/>
      <c r="F33" s="22"/>
      <c r="G33" s="22"/>
      <c r="H33" s="28"/>
      <c r="I33" s="22"/>
      <c r="J33" s="22"/>
      <c r="K33" s="29"/>
    </row>
    <row r="34" spans="1:11" ht="12.75">
      <c r="A34" s="113" t="s">
        <v>876</v>
      </c>
      <c r="B34" s="113"/>
      <c r="C34" s="113"/>
      <c r="D34" s="113"/>
      <c r="E34" s="113"/>
      <c r="F34" s="113"/>
      <c r="G34" s="113"/>
      <c r="H34" s="28">
        <f>(O21*1.5)/12*90.3*1.058</f>
        <v>3702.07425</v>
      </c>
      <c r="I34" s="22"/>
      <c r="J34" s="22"/>
      <c r="K34" s="29"/>
    </row>
    <row r="35" spans="1:12" ht="12.75">
      <c r="A35" s="113" t="s">
        <v>877</v>
      </c>
      <c r="B35" s="113"/>
      <c r="C35" s="113"/>
      <c r="D35" s="113"/>
      <c r="E35" s="113"/>
      <c r="F35" s="113"/>
      <c r="G35" s="113"/>
      <c r="H35" s="28">
        <f>O21*1.5*33.1/12*1.058</f>
        <v>1357.01725</v>
      </c>
      <c r="I35" s="22"/>
      <c r="J35" s="22"/>
      <c r="K35" s="29"/>
      <c r="L35" s="65">
        <f>1.16*O20</f>
        <v>5013.5199999999995</v>
      </c>
    </row>
    <row r="36" spans="1:11" ht="12.75">
      <c r="A36" s="113" t="s">
        <v>878</v>
      </c>
      <c r="B36" s="113"/>
      <c r="C36" s="113"/>
      <c r="D36" s="113"/>
      <c r="E36" s="113"/>
      <c r="F36" s="113"/>
      <c r="G36" s="113"/>
      <c r="H36" s="28">
        <f>O30*2.48</f>
        <v>5748.64</v>
      </c>
      <c r="I36" s="22"/>
      <c r="J36" s="22"/>
      <c r="K36" s="29"/>
    </row>
    <row r="37" spans="1:11" ht="12.75">
      <c r="A37" s="113" t="s">
        <v>879</v>
      </c>
      <c r="B37" s="113"/>
      <c r="C37" s="113"/>
      <c r="D37" s="113"/>
      <c r="E37" s="113"/>
      <c r="F37" s="113"/>
      <c r="G37" s="113"/>
      <c r="H37" s="28">
        <f>O20*0.028</f>
        <v>121.016</v>
      </c>
      <c r="I37" s="22"/>
      <c r="J37" s="22"/>
      <c r="K37" s="29"/>
    </row>
    <row r="38" spans="1:11" ht="12.75">
      <c r="A38" s="113" t="s">
        <v>880</v>
      </c>
      <c r="B38" s="113"/>
      <c r="C38" s="113"/>
      <c r="D38" s="113"/>
      <c r="E38" s="113"/>
      <c r="F38" s="113"/>
      <c r="G38" s="113"/>
      <c r="H38" s="28">
        <f>O20*0.0027</f>
        <v>11.669400000000001</v>
      </c>
      <c r="I38" s="22"/>
      <c r="J38" s="22"/>
      <c r="K38" s="29"/>
    </row>
    <row r="39" spans="1:11" ht="12.75">
      <c r="A39" s="113" t="s">
        <v>881</v>
      </c>
      <c r="B39" s="113"/>
      <c r="C39" s="113"/>
      <c r="D39" s="113"/>
      <c r="E39" s="24"/>
      <c r="F39" s="24"/>
      <c r="G39" s="24"/>
      <c r="H39" s="28">
        <f>O20*0.216</f>
        <v>933.552</v>
      </c>
      <c r="I39" s="22"/>
      <c r="J39" s="22"/>
      <c r="K39" s="29"/>
    </row>
    <row r="40" spans="1:11" ht="12.75">
      <c r="A40" s="113" t="s">
        <v>103</v>
      </c>
      <c r="B40" s="113"/>
      <c r="C40" s="113"/>
      <c r="D40" s="113"/>
      <c r="E40" s="113"/>
      <c r="F40" s="113"/>
      <c r="G40" s="113"/>
      <c r="H40" s="28">
        <f>O29*4.81/12</f>
        <v>22.847499999999997</v>
      </c>
      <c r="I40" s="22"/>
      <c r="J40" s="22"/>
      <c r="K40" s="29"/>
    </row>
    <row r="41" spans="1:15" ht="12.75">
      <c r="A41" s="113" t="s">
        <v>882</v>
      </c>
      <c r="B41" s="113"/>
      <c r="C41" s="113"/>
      <c r="D41" s="113"/>
      <c r="E41" s="113"/>
      <c r="F41" s="113"/>
      <c r="G41" s="113"/>
      <c r="H41" s="28">
        <f>O41*80/12/2</f>
        <v>560</v>
      </c>
      <c r="I41" s="22"/>
      <c r="J41" s="22"/>
      <c r="K41" s="29"/>
      <c r="M41" s="65" t="s">
        <v>586</v>
      </c>
      <c r="O41" s="65">
        <v>168</v>
      </c>
    </row>
    <row r="42" spans="1:11" ht="12.75">
      <c r="A42" s="113" t="s">
        <v>883</v>
      </c>
      <c r="B42" s="113"/>
      <c r="C42" s="113"/>
      <c r="D42" s="113"/>
      <c r="E42" s="113"/>
      <c r="F42" s="113"/>
      <c r="G42" s="113"/>
      <c r="H42" s="28">
        <f>O20*0.027</f>
        <v>116.694</v>
      </c>
      <c r="I42" s="22"/>
      <c r="J42" s="32"/>
      <c r="K42" s="29"/>
    </row>
    <row r="43" spans="1:11" ht="12.75">
      <c r="A43" s="113" t="s">
        <v>884</v>
      </c>
      <c r="B43" s="113"/>
      <c r="C43" s="113"/>
      <c r="D43" s="113"/>
      <c r="E43" s="113"/>
      <c r="F43" s="113"/>
      <c r="G43" s="113"/>
      <c r="H43" s="28">
        <f>O20*0.022</f>
        <v>95.08399999999999</v>
      </c>
      <c r="I43" s="22"/>
      <c r="J43" s="22"/>
      <c r="K43" s="29"/>
    </row>
    <row r="44" spans="1:11" ht="12.75">
      <c r="A44" s="113" t="s">
        <v>885</v>
      </c>
      <c r="B44" s="113"/>
      <c r="C44" s="113"/>
      <c r="D44" s="113"/>
      <c r="E44" s="113"/>
      <c r="F44" s="113"/>
      <c r="G44" s="113"/>
      <c r="H44" s="28">
        <f>O20*0.022</f>
        <v>95.08399999999999</v>
      </c>
      <c r="I44" s="22"/>
      <c r="J44" s="22"/>
      <c r="K44" s="29"/>
    </row>
    <row r="45" spans="1:11" ht="12.75">
      <c r="A45" s="113" t="s">
        <v>886</v>
      </c>
      <c r="B45" s="113"/>
      <c r="C45" s="113"/>
      <c r="D45" s="113"/>
      <c r="E45" s="113"/>
      <c r="F45" s="113"/>
      <c r="G45" s="24"/>
      <c r="H45" s="28">
        <f>O20*0.053</f>
        <v>229.066</v>
      </c>
      <c r="I45" s="22"/>
      <c r="J45" s="22"/>
      <c r="K45" s="29"/>
    </row>
    <row r="46" spans="1:11" ht="12.75">
      <c r="A46" s="113" t="s">
        <v>887</v>
      </c>
      <c r="B46" s="113"/>
      <c r="C46" s="113"/>
      <c r="D46" s="113"/>
      <c r="E46" s="113"/>
      <c r="F46" s="113"/>
      <c r="G46" s="24"/>
      <c r="H46" s="28">
        <f>O20*0.014</f>
        <v>60.508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5.75">
      <c r="A48" s="86" t="s">
        <v>148</v>
      </c>
      <c r="B48" s="86"/>
      <c r="C48" s="86"/>
      <c r="D48" s="86"/>
      <c r="E48" s="86"/>
      <c r="F48" s="86"/>
      <c r="G48" s="86"/>
      <c r="H48" s="87"/>
      <c r="I48" s="88"/>
      <c r="J48" s="88">
        <v>9460.05</v>
      </c>
      <c r="K48" s="89">
        <f>H50+H51+H52+H53+H54</f>
        <v>9204.277254901961</v>
      </c>
    </row>
    <row r="49" spans="1:11" ht="12.75">
      <c r="A49" s="24"/>
      <c r="B49" s="24" t="s">
        <v>64</v>
      </c>
      <c r="C49" s="24"/>
      <c r="D49" s="24"/>
      <c r="E49" s="24"/>
      <c r="F49" s="24"/>
      <c r="G49" s="24"/>
      <c r="H49" s="28"/>
      <c r="I49" s="22"/>
      <c r="J49" s="22"/>
      <c r="K49" s="29"/>
    </row>
    <row r="50" spans="1:13" ht="12.75">
      <c r="A50" s="113" t="s">
        <v>888</v>
      </c>
      <c r="B50" s="113"/>
      <c r="C50" s="113"/>
      <c r="D50" s="113"/>
      <c r="E50" s="113"/>
      <c r="F50" s="113"/>
      <c r="G50" s="24"/>
      <c r="H50" s="28">
        <f>O20*2.07</f>
        <v>8946.539999999999</v>
      </c>
      <c r="I50" s="22"/>
      <c r="J50" s="22"/>
      <c r="K50" s="29"/>
      <c r="M50" s="65">
        <v>18024</v>
      </c>
    </row>
    <row r="51" spans="1:11" ht="12.75">
      <c r="A51" s="113" t="s">
        <v>748</v>
      </c>
      <c r="B51" s="113"/>
      <c r="C51" s="113"/>
      <c r="D51" s="113"/>
      <c r="E51" s="113"/>
      <c r="F51" s="113"/>
      <c r="G51" s="24"/>
      <c r="H51" s="28">
        <f>1380*1/12</f>
        <v>115</v>
      </c>
      <c r="I51" s="22"/>
      <c r="J51" s="22"/>
      <c r="K51" s="29"/>
    </row>
    <row r="52" spans="1:11" ht="12.75">
      <c r="A52" s="113" t="s">
        <v>749</v>
      </c>
      <c r="B52" s="113"/>
      <c r="C52" s="113"/>
      <c r="D52" s="113"/>
      <c r="E52" s="113"/>
      <c r="F52" s="113"/>
      <c r="G52" s="113"/>
      <c r="H52" s="28">
        <f>1567*1/12</f>
        <v>130.58333333333334</v>
      </c>
      <c r="I52" s="22"/>
      <c r="J52" s="22"/>
      <c r="K52" s="29"/>
    </row>
    <row r="53" spans="1:11" ht="12.75">
      <c r="A53" s="113" t="s">
        <v>860</v>
      </c>
      <c r="B53" s="113"/>
      <c r="C53" s="113"/>
      <c r="D53" s="113"/>
      <c r="E53" s="113"/>
      <c r="F53" s="113"/>
      <c r="G53" s="113"/>
      <c r="H53" s="28">
        <f>56.4*1/2/12</f>
        <v>2.35</v>
      </c>
      <c r="I53" s="22"/>
      <c r="J53" s="22"/>
      <c r="K53" s="29"/>
    </row>
    <row r="54" spans="1:11" ht="12.75">
      <c r="A54" s="24" t="s">
        <v>340</v>
      </c>
      <c r="B54" s="24"/>
      <c r="C54" s="24"/>
      <c r="D54" s="24"/>
      <c r="E54" s="24"/>
      <c r="F54" s="24"/>
      <c r="G54" s="24"/>
      <c r="H54" s="28">
        <f>10000/85*1/12</f>
        <v>9.80392156862745</v>
      </c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3" ht="15.75">
      <c r="A56" s="20" t="s">
        <v>111</v>
      </c>
      <c r="B56" s="20"/>
      <c r="C56" s="20"/>
      <c r="D56" s="20"/>
      <c r="E56" s="20"/>
      <c r="F56" s="20"/>
      <c r="G56" s="20"/>
      <c r="H56" s="27"/>
      <c r="I56" s="20"/>
      <c r="J56" s="20"/>
      <c r="K56" s="21">
        <f>H59+H61+H62+H63+H64+H65+H66+H67+H69+H70</f>
        <v>16142.171935882645</v>
      </c>
      <c r="M56" s="71">
        <f>K56/309084*O20</f>
        <v>225.72008614772938</v>
      </c>
    </row>
    <row r="57" spans="1:11" ht="12.75">
      <c r="A57" s="22"/>
      <c r="B57" s="22" t="s">
        <v>64</v>
      </c>
      <c r="C57" s="22"/>
      <c r="D57" s="22"/>
      <c r="E57" s="22"/>
      <c r="F57" s="22"/>
      <c r="G57" s="22"/>
      <c r="H57" s="28"/>
      <c r="I57" s="22"/>
      <c r="J57" s="22"/>
      <c r="K57" s="29"/>
    </row>
    <row r="58" spans="1:11" ht="12.75">
      <c r="A58" s="33" t="s">
        <v>112</v>
      </c>
      <c r="B58" s="33"/>
      <c r="C58" s="33"/>
      <c r="D58" s="33"/>
      <c r="E58" s="33"/>
      <c r="F58" s="33"/>
      <c r="G58" s="33"/>
      <c r="H58" s="34"/>
      <c r="I58" s="33"/>
      <c r="J58" s="33"/>
      <c r="K58" s="35"/>
    </row>
    <row r="59" spans="1:13" ht="12.75">
      <c r="A59" s="111" t="s">
        <v>889</v>
      </c>
      <c r="B59" s="111"/>
      <c r="C59" s="111"/>
      <c r="D59" s="111"/>
      <c r="E59" s="111"/>
      <c r="F59" s="111"/>
      <c r="G59" s="36"/>
      <c r="H59" s="37">
        <f>K293*24.48*165.1*1.5*1.07</f>
        <v>8841.080642629286</v>
      </c>
      <c r="I59" s="38"/>
      <c r="J59" s="38"/>
      <c r="K59" s="35"/>
      <c r="M59" s="69">
        <f>K293</f>
        <v>1.3629245940225643</v>
      </c>
    </row>
    <row r="60" spans="1:11" ht="12.75">
      <c r="A60" s="33" t="s">
        <v>114</v>
      </c>
      <c r="B60" s="33"/>
      <c r="C60" s="33"/>
      <c r="D60" s="33"/>
      <c r="E60" s="33"/>
      <c r="F60" s="33"/>
      <c r="G60" s="33"/>
      <c r="H60" s="34"/>
      <c r="I60" s="33"/>
      <c r="J60" s="33"/>
      <c r="K60" s="35"/>
    </row>
    <row r="61" spans="1:11" ht="12.75">
      <c r="A61" s="39">
        <f>H59</f>
        <v>8841.080642629286</v>
      </c>
      <c r="B61" s="36" t="s">
        <v>115</v>
      </c>
      <c r="C61" s="36"/>
      <c r="D61" s="36"/>
      <c r="E61" s="36"/>
      <c r="F61" s="36"/>
      <c r="G61" s="38"/>
      <c r="H61" s="37">
        <f>H59*14.2%</f>
        <v>1255.4334512533585</v>
      </c>
      <c r="I61" s="38"/>
      <c r="J61" s="38"/>
      <c r="K61" s="35"/>
    </row>
    <row r="62" spans="1:11" ht="12.75">
      <c r="A62" s="30" t="s">
        <v>86</v>
      </c>
      <c r="B62" s="30"/>
      <c r="C62" s="30"/>
      <c r="D62" s="30"/>
      <c r="E62" s="30"/>
      <c r="F62" s="40"/>
      <c r="G62" s="40"/>
      <c r="H62" s="37">
        <f>0.04*O20</f>
        <v>172.88</v>
      </c>
      <c r="I62" s="38"/>
      <c r="J62" s="38"/>
      <c r="K62" s="35"/>
    </row>
    <row r="63" spans="1:11" ht="12.75">
      <c r="A63" s="108" t="s">
        <v>116</v>
      </c>
      <c r="B63" s="108"/>
      <c r="C63" s="108"/>
      <c r="D63" s="108"/>
      <c r="E63" s="108"/>
      <c r="F63" s="108"/>
      <c r="G63" s="108"/>
      <c r="H63" s="37">
        <f>0.97*O20</f>
        <v>4192.34</v>
      </c>
      <c r="I63" s="38"/>
      <c r="J63" s="38"/>
      <c r="K63" s="35"/>
    </row>
    <row r="64" spans="1:11" ht="12.75">
      <c r="A64" s="108" t="s">
        <v>890</v>
      </c>
      <c r="B64" s="108"/>
      <c r="C64" s="108"/>
      <c r="D64" s="108"/>
      <c r="E64" s="108"/>
      <c r="F64" s="30"/>
      <c r="G64" s="30"/>
      <c r="H64" s="37">
        <f>0.0037*O20</f>
        <v>15.9914</v>
      </c>
      <c r="I64" s="38"/>
      <c r="J64" s="38"/>
      <c r="K64" s="35"/>
    </row>
    <row r="65" spans="1:12" ht="12.75">
      <c r="A65" s="108" t="s">
        <v>891</v>
      </c>
      <c r="B65" s="108"/>
      <c r="C65" s="108"/>
      <c r="D65" s="108"/>
      <c r="E65" s="108"/>
      <c r="F65" s="108"/>
      <c r="G65" s="108"/>
      <c r="H65" s="37">
        <f>O20*0.082</f>
        <v>354.404</v>
      </c>
      <c r="I65" s="38"/>
      <c r="J65" s="38"/>
      <c r="K65" s="35"/>
      <c r="L65" s="69"/>
    </row>
    <row r="66" spans="1:13" ht="12.75">
      <c r="A66" s="108" t="s">
        <v>892</v>
      </c>
      <c r="B66" s="108"/>
      <c r="C66" s="108"/>
      <c r="D66" s="108"/>
      <c r="E66" s="108"/>
      <c r="F66" s="108"/>
      <c r="G66" s="108"/>
      <c r="H66" s="31">
        <f>O20*0.023*1.107</f>
        <v>110.042442</v>
      </c>
      <c r="I66" s="33"/>
      <c r="J66" s="33"/>
      <c r="K66" s="35"/>
      <c r="M66" s="65">
        <f>36646.37/309083*O20</f>
        <v>512.4371484035033</v>
      </c>
    </row>
    <row r="67" spans="1:11" ht="12.75">
      <c r="A67" s="41" t="s">
        <v>120</v>
      </c>
      <c r="B67" s="41"/>
      <c r="C67" s="41"/>
      <c r="D67" s="41"/>
      <c r="E67" s="40"/>
      <c r="F67" s="40"/>
      <c r="G67" s="40"/>
      <c r="H67" s="31">
        <v>600</v>
      </c>
      <c r="I67" s="38"/>
      <c r="J67" s="38"/>
      <c r="K67" s="35"/>
    </row>
    <row r="68" spans="1:11" ht="12.75" customHeight="1" hidden="1">
      <c r="A68" s="38"/>
      <c r="B68" s="38"/>
      <c r="C68" s="38"/>
      <c r="D68" s="40"/>
      <c r="E68" s="40"/>
      <c r="F68" s="40"/>
      <c r="G68" s="40"/>
      <c r="H68" s="121"/>
      <c r="I68" s="40"/>
      <c r="J68" s="40"/>
      <c r="K68" s="122"/>
    </row>
    <row r="69" spans="1:11" ht="12.75">
      <c r="A69" s="38" t="s">
        <v>568</v>
      </c>
      <c r="B69" s="38"/>
      <c r="C69" s="38"/>
      <c r="D69" s="40"/>
      <c r="E69" s="40"/>
      <c r="F69" s="40"/>
      <c r="G69" s="38"/>
      <c r="H69" s="37">
        <v>300</v>
      </c>
      <c r="I69" s="40"/>
      <c r="J69" s="40"/>
      <c r="K69" s="122"/>
    </row>
    <row r="70" spans="1:11" ht="12.75">
      <c r="A70" s="38" t="s">
        <v>377</v>
      </c>
      <c r="B70" s="38"/>
      <c r="C70" s="38"/>
      <c r="D70" s="40"/>
      <c r="E70" s="40"/>
      <c r="F70" s="40"/>
      <c r="G70" s="38"/>
      <c r="H70" s="37">
        <v>300</v>
      </c>
      <c r="I70" s="40"/>
      <c r="J70" s="40"/>
      <c r="K70" s="122"/>
    </row>
    <row r="71" spans="1:11" ht="12.75">
      <c r="A71" s="38"/>
      <c r="B71" s="38"/>
      <c r="C71" s="38"/>
      <c r="D71" s="40"/>
      <c r="E71" s="40"/>
      <c r="F71" s="40"/>
      <c r="G71" s="38"/>
      <c r="H71" s="37"/>
      <c r="I71" s="40"/>
      <c r="J71" s="40"/>
      <c r="K71" s="122"/>
    </row>
    <row r="72" spans="1:13" ht="15.75">
      <c r="A72" s="110" t="s">
        <v>121</v>
      </c>
      <c r="B72" s="110"/>
      <c r="C72" s="110"/>
      <c r="D72" s="110"/>
      <c r="E72" s="42"/>
      <c r="F72" s="42"/>
      <c r="G72" s="20"/>
      <c r="H72" s="27"/>
      <c r="I72" s="20"/>
      <c r="J72" s="20"/>
      <c r="K72" s="21">
        <f>H74+H75+H76+H77</f>
        <v>3513.3538</v>
      </c>
      <c r="M72" s="72">
        <f>51932.37/301083*O20</f>
        <v>745.4811568238658</v>
      </c>
    </row>
    <row r="73" spans="1:11" ht="12.75">
      <c r="A73" s="111" t="s">
        <v>122</v>
      </c>
      <c r="B73" s="111"/>
      <c r="C73" s="111"/>
      <c r="D73" s="111"/>
      <c r="E73" s="111"/>
      <c r="F73" s="111"/>
      <c r="G73" s="36"/>
      <c r="H73" s="37"/>
      <c r="I73" s="36"/>
      <c r="J73" s="36"/>
      <c r="K73" s="35"/>
    </row>
    <row r="74" spans="1:11" ht="12.75">
      <c r="A74" s="36" t="s">
        <v>893</v>
      </c>
      <c r="B74" s="36"/>
      <c r="C74" s="36"/>
      <c r="D74" s="36"/>
      <c r="E74" s="36"/>
      <c r="F74" s="36"/>
      <c r="G74" s="36"/>
      <c r="H74" s="37">
        <f>0.2227*O20</f>
        <v>962.5094</v>
      </c>
      <c r="I74" s="36"/>
      <c r="J74" s="36"/>
      <c r="K74" s="35"/>
    </row>
    <row r="75" spans="1:11" ht="12.75">
      <c r="A75" s="30" t="s">
        <v>894</v>
      </c>
      <c r="B75" s="43"/>
      <c r="C75" s="30"/>
      <c r="D75" s="30"/>
      <c r="E75" s="44"/>
      <c r="F75" s="38"/>
      <c r="G75" s="38"/>
      <c r="H75" s="37">
        <f>0.0257*O20</f>
        <v>111.0754</v>
      </c>
      <c r="I75" s="38"/>
      <c r="J75" s="38"/>
      <c r="K75" s="35"/>
    </row>
    <row r="76" spans="1:11" ht="12.75">
      <c r="A76" s="111" t="s">
        <v>895</v>
      </c>
      <c r="B76" s="111"/>
      <c r="C76" s="111"/>
      <c r="D76" s="111"/>
      <c r="E76" s="111"/>
      <c r="F76" s="38"/>
      <c r="G76" s="38"/>
      <c r="H76" s="37">
        <f>0.0945*O20</f>
        <v>408.42900000000003</v>
      </c>
      <c r="I76" s="38"/>
      <c r="J76" s="38"/>
      <c r="K76" s="35"/>
    </row>
    <row r="77" spans="1:11" ht="12.75">
      <c r="A77" s="36" t="s">
        <v>896</v>
      </c>
      <c r="B77" s="36"/>
      <c r="C77" s="36"/>
      <c r="D77" s="36"/>
      <c r="E77" s="36"/>
      <c r="F77" s="38"/>
      <c r="G77" s="38"/>
      <c r="H77" s="37">
        <f>0.47*O20</f>
        <v>2031.34</v>
      </c>
      <c r="I77" s="38"/>
      <c r="J77" s="38"/>
      <c r="K77" s="45"/>
    </row>
    <row r="78" spans="1:11" ht="12.75">
      <c r="A78" s="30"/>
      <c r="B78" s="30"/>
      <c r="C78" s="30"/>
      <c r="D78" s="30"/>
      <c r="E78" s="30"/>
      <c r="F78" s="30"/>
      <c r="G78" s="30"/>
      <c r="H78" s="37"/>
      <c r="I78" s="38"/>
      <c r="J78" s="38"/>
      <c r="K78" s="35"/>
    </row>
    <row r="79" spans="1:13" ht="15.75">
      <c r="A79" s="26" t="s">
        <v>127</v>
      </c>
      <c r="B79" s="26"/>
      <c r="C79" s="26"/>
      <c r="D79" s="26"/>
      <c r="E79" s="26"/>
      <c r="F79" s="26"/>
      <c r="G79" s="26"/>
      <c r="H79" s="46"/>
      <c r="I79" s="20"/>
      <c r="J79" s="20"/>
      <c r="K79" s="21">
        <f>O20*0.94</f>
        <v>4062.68</v>
      </c>
      <c r="M79" s="71">
        <f>231179.9/309083*O20</f>
        <v>3232.6576608872047</v>
      </c>
    </row>
    <row r="80" spans="1:11" ht="15.75">
      <c r="A80" s="47"/>
      <c r="B80" s="47"/>
      <c r="C80" s="112" t="s">
        <v>64</v>
      </c>
      <c r="D80" s="112"/>
      <c r="E80" s="47"/>
      <c r="F80" s="47"/>
      <c r="G80" s="47"/>
      <c r="H80" s="48"/>
      <c r="I80" s="47"/>
      <c r="J80" s="47"/>
      <c r="K80" s="49"/>
    </row>
    <row r="81" spans="1:11" ht="12.75">
      <c r="A81" s="30" t="s">
        <v>128</v>
      </c>
      <c r="B81" s="30"/>
      <c r="C81" s="30"/>
      <c r="D81" s="30"/>
      <c r="E81" s="30"/>
      <c r="F81" s="30"/>
      <c r="G81" s="30"/>
      <c r="H81" s="37"/>
      <c r="I81" s="38"/>
      <c r="J81" s="38"/>
      <c r="K81" s="35"/>
    </row>
    <row r="82" spans="1:11" ht="12.75">
      <c r="A82" s="30" t="s">
        <v>129</v>
      </c>
      <c r="B82" s="43"/>
      <c r="C82" s="30"/>
      <c r="D82" s="30"/>
      <c r="E82" s="30"/>
      <c r="F82" s="44"/>
      <c r="G82" s="44"/>
      <c r="H82" s="37"/>
      <c r="I82" s="38"/>
      <c r="J82" s="38"/>
      <c r="K82" s="35"/>
    </row>
    <row r="83" spans="1:11" ht="12.75">
      <c r="A83" s="108" t="s">
        <v>130</v>
      </c>
      <c r="B83" s="108"/>
      <c r="C83" s="108"/>
      <c r="D83" s="108"/>
      <c r="E83" s="108"/>
      <c r="F83" s="108"/>
      <c r="G83" s="44"/>
      <c r="H83" s="37"/>
      <c r="I83" s="38"/>
      <c r="J83" s="38"/>
      <c r="K83" s="35"/>
    </row>
    <row r="84" spans="1:11" ht="12.75">
      <c r="A84" s="108" t="s">
        <v>131</v>
      </c>
      <c r="B84" s="108"/>
      <c r="C84" s="108"/>
      <c r="D84" s="108"/>
      <c r="E84" s="108"/>
      <c r="F84" s="108"/>
      <c r="G84" s="108"/>
      <c r="H84" s="37"/>
      <c r="I84" s="38"/>
      <c r="J84" s="38"/>
      <c r="K84" s="35"/>
    </row>
    <row r="85" spans="1:11" ht="12.75">
      <c r="A85" s="108" t="s">
        <v>132</v>
      </c>
      <c r="B85" s="108"/>
      <c r="C85" s="108"/>
      <c r="D85" s="108"/>
      <c r="E85" s="109"/>
      <c r="F85" s="109"/>
      <c r="G85" s="109"/>
      <c r="H85" s="37"/>
      <c r="I85" s="38"/>
      <c r="J85" s="38"/>
      <c r="K85" s="35"/>
    </row>
    <row r="86" spans="1:11" ht="12.75">
      <c r="A86" s="108" t="s">
        <v>133</v>
      </c>
      <c r="B86" s="108"/>
      <c r="C86" s="108"/>
      <c r="D86" s="108"/>
      <c r="E86" s="108"/>
      <c r="F86" s="44"/>
      <c r="G86" s="44"/>
      <c r="H86" s="37"/>
      <c r="I86" s="38"/>
      <c r="J86" s="38"/>
      <c r="K86" s="35"/>
    </row>
    <row r="87" spans="1:14" ht="12.75">
      <c r="A87" s="44" t="s">
        <v>134</v>
      </c>
      <c r="B87" s="44"/>
      <c r="C87" s="44"/>
      <c r="D87" s="44"/>
      <c r="E87" s="44"/>
      <c r="F87" s="44"/>
      <c r="G87" s="44"/>
      <c r="H87" s="37"/>
      <c r="I87" s="38"/>
      <c r="J87" s="38"/>
      <c r="K87" s="35"/>
      <c r="N87" s="69">
        <f>K17+K32+K48+K56+K72+K79</f>
        <v>58255.311501812204</v>
      </c>
    </row>
    <row r="88" spans="1:14" ht="12.75">
      <c r="A88" s="22"/>
      <c r="B88" s="22"/>
      <c r="C88" s="22"/>
      <c r="D88" s="22"/>
      <c r="E88" s="22"/>
      <c r="F88" s="22"/>
      <c r="G88" s="22"/>
      <c r="H88" s="28"/>
      <c r="I88" s="22"/>
      <c r="J88" s="22"/>
      <c r="K88" s="29"/>
      <c r="N88" s="65" t="e">
        <f>#REF!*97%</f>
        <v>#REF!</v>
      </c>
    </row>
    <row r="89" spans="1:14" ht="15.75">
      <c r="A89" s="20" t="s">
        <v>135</v>
      </c>
      <c r="B89" s="20"/>
      <c r="C89" s="20"/>
      <c r="D89" s="20"/>
      <c r="E89" s="20"/>
      <c r="F89" s="51"/>
      <c r="G89" s="51"/>
      <c r="H89" s="52"/>
      <c r="I89" s="51"/>
      <c r="J89" s="51"/>
      <c r="K89" s="21">
        <f>0.0205*O20</f>
        <v>88.601</v>
      </c>
      <c r="L89" s="72">
        <f>K89/309084*O20</f>
        <v>1.238930264911804</v>
      </c>
      <c r="M89" s="72">
        <f>L89/309084*P20</f>
        <v>0</v>
      </c>
      <c r="N89" s="65" t="e">
        <f>(N88-N87)*0.15</f>
        <v>#REF!</v>
      </c>
    </row>
    <row r="90" spans="1:13" ht="15.75">
      <c r="A90" s="54"/>
      <c r="B90" s="54"/>
      <c r="C90" s="54"/>
      <c r="D90" s="54"/>
      <c r="E90" s="54"/>
      <c r="F90" s="53"/>
      <c r="G90" s="53"/>
      <c r="H90" s="55"/>
      <c r="I90" s="53"/>
      <c r="J90" s="53"/>
      <c r="K90" s="56"/>
      <c r="L90" s="72"/>
      <c r="M90" s="72"/>
    </row>
    <row r="91" spans="1:11" ht="15.75">
      <c r="A91" s="57" t="s">
        <v>673</v>
      </c>
      <c r="B91" s="57"/>
      <c r="C91" s="57"/>
      <c r="D91" s="58"/>
      <c r="E91" s="58"/>
      <c r="F91" s="58"/>
      <c r="G91" s="58"/>
      <c r="H91" s="59"/>
      <c r="I91" s="58"/>
      <c r="J91" s="58"/>
      <c r="K91" s="64">
        <f>K15*0.06</f>
        <v>3500.6347501087316</v>
      </c>
    </row>
    <row r="92" spans="1:11" ht="15.75">
      <c r="A92" s="57"/>
      <c r="B92" s="57"/>
      <c r="C92" s="57"/>
      <c r="D92" s="58"/>
      <c r="E92" s="58"/>
      <c r="F92" s="58"/>
      <c r="G92" s="58"/>
      <c r="H92" s="59"/>
      <c r="I92" s="58"/>
      <c r="J92" s="58"/>
      <c r="K92" s="64"/>
    </row>
    <row r="93" spans="1:11" ht="15.75">
      <c r="A93" s="63" t="s">
        <v>137</v>
      </c>
      <c r="B93" s="63"/>
      <c r="C93" s="63"/>
      <c r="D93" s="63"/>
      <c r="E93" s="63"/>
      <c r="F93" s="63"/>
      <c r="G93" s="63"/>
      <c r="H93" s="63"/>
      <c r="I93" s="63"/>
      <c r="J93" s="63"/>
      <c r="K93" s="64">
        <f>K91+K15</f>
        <v>61844.54725192093</v>
      </c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 t="s">
        <v>138</v>
      </c>
      <c r="B95" s="63"/>
      <c r="C95" s="63"/>
      <c r="D95" s="63"/>
      <c r="E95" s="63"/>
      <c r="F95" s="63"/>
      <c r="G95" s="63"/>
      <c r="H95" s="63"/>
      <c r="I95" s="63"/>
      <c r="J95" s="63"/>
      <c r="K95" s="64">
        <f>K93/O20</f>
        <v>14.309242769995587</v>
      </c>
    </row>
    <row r="96" spans="1:11" ht="15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t="15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4"/>
    </row>
    <row r="98" spans="1:11" ht="15.75" customHeight="1">
      <c r="A98" s="129"/>
      <c r="B98" s="129"/>
      <c r="C98" s="129"/>
      <c r="D98" s="129"/>
      <c r="E98" s="129"/>
      <c r="F98" s="129"/>
      <c r="G98" s="129"/>
      <c r="H98" s="129"/>
      <c r="I98" s="132"/>
      <c r="J98" s="132"/>
      <c r="K98" s="132"/>
    </row>
    <row r="99" ht="15.75" customHeight="1"/>
    <row r="100" ht="15.75" customHeight="1"/>
    <row r="105" spans="3:9" s="65" customFormat="1" ht="15.75">
      <c r="C105" s="106" t="s">
        <v>139</v>
      </c>
      <c r="D105" s="107"/>
      <c r="E105" s="107"/>
      <c r="F105" s="107"/>
      <c r="G105" s="107"/>
      <c r="H105" s="107"/>
      <c r="I105" s="107"/>
    </row>
    <row r="106" spans="3:9" s="65" customFormat="1" ht="15.75">
      <c r="C106" s="74" t="s">
        <v>140</v>
      </c>
      <c r="D106" s="74" t="s">
        <v>141</v>
      </c>
      <c r="E106" s="74"/>
      <c r="F106" s="74"/>
      <c r="G106" s="75"/>
      <c r="H106" s="75"/>
      <c r="I106" s="75"/>
    </row>
    <row r="107" s="65" customFormat="1" ht="12.75"/>
    <row r="108" s="65" customFormat="1" ht="12.75">
      <c r="E108" s="65" t="s">
        <v>142</v>
      </c>
    </row>
    <row r="109" spans="5:8" s="65" customFormat="1" ht="12.75">
      <c r="E109" s="65" t="s">
        <v>143</v>
      </c>
      <c r="H109" s="65">
        <v>1200</v>
      </c>
    </row>
    <row r="110" spans="5:8" s="65" customFormat="1" ht="12.75">
      <c r="E110" s="65" t="s">
        <v>144</v>
      </c>
      <c r="H110" s="65">
        <v>1324</v>
      </c>
    </row>
    <row r="111" spans="5:8" s="65" customFormat="1" ht="12.75">
      <c r="E111" s="65" t="s">
        <v>145</v>
      </c>
      <c r="H111" s="65">
        <v>332</v>
      </c>
    </row>
    <row r="112" spans="5:8" s="65" customFormat="1" ht="12.75">
      <c r="E112" s="65" t="s">
        <v>146</v>
      </c>
      <c r="H112" s="65">
        <v>5351.8</v>
      </c>
    </row>
    <row r="113" s="65" customFormat="1" ht="12.75"/>
    <row r="114" spans="1:11" s="65" customFormat="1" ht="15.75">
      <c r="A114" s="105" t="s">
        <v>72</v>
      </c>
      <c r="B114" s="105"/>
      <c r="C114" s="105"/>
      <c r="D114" s="105"/>
      <c r="E114" s="105"/>
      <c r="F114" s="105"/>
      <c r="G114" s="105"/>
      <c r="H114" s="76" t="e">
        <f>H116+H118+H120+H122+H124+H126+H128</f>
        <v>#REF!</v>
      </c>
      <c r="I114" s="77" t="s">
        <v>70</v>
      </c>
      <c r="K114" s="78" t="e">
        <f>H114-20000</f>
        <v>#REF!</v>
      </c>
    </row>
    <row r="115" spans="1:7" s="65" customFormat="1" ht="12.75">
      <c r="A115" s="79"/>
      <c r="B115" s="79"/>
      <c r="C115" s="79"/>
      <c r="D115" s="79"/>
      <c r="E115" s="79"/>
      <c r="F115" s="79"/>
      <c r="G115" s="79"/>
    </row>
    <row r="116" spans="1:8" s="65" customFormat="1" ht="15.75">
      <c r="A116" s="80" t="s">
        <v>147</v>
      </c>
      <c r="B116" s="80"/>
      <c r="C116" s="80"/>
      <c r="D116" s="80"/>
      <c r="E116" s="80"/>
      <c r="F116" s="80"/>
      <c r="G116" s="80"/>
      <c r="H116" s="78">
        <f>K17</f>
        <v>12279.576111027598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78"/>
    </row>
    <row r="118" spans="1:8" s="65" customFormat="1" ht="15.75">
      <c r="A118" s="105" t="s">
        <v>95</v>
      </c>
      <c r="B118" s="105"/>
      <c r="C118" s="105"/>
      <c r="D118" s="105"/>
      <c r="E118" s="105"/>
      <c r="F118" s="80"/>
      <c r="G118" s="80"/>
      <c r="H118" s="78">
        <f>K32</f>
        <v>13053.252400000003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78"/>
    </row>
    <row r="120" spans="1:8" s="65" customFormat="1" ht="15.75">
      <c r="A120" s="105" t="s">
        <v>148</v>
      </c>
      <c r="B120" s="105"/>
      <c r="C120" s="105"/>
      <c r="D120" s="105"/>
      <c r="E120" s="105"/>
      <c r="F120" s="105"/>
      <c r="G120" s="105"/>
      <c r="H120" s="81" t="e">
        <f>#REF!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111</v>
      </c>
      <c r="B122" s="80"/>
      <c r="C122" s="80"/>
      <c r="D122" s="80"/>
      <c r="E122" s="80"/>
      <c r="F122" s="80"/>
      <c r="G122" s="80"/>
      <c r="H122" s="82">
        <f>M56</f>
        <v>225.72008614772938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105" t="s">
        <v>149</v>
      </c>
      <c r="B124" s="105"/>
      <c r="C124" s="105"/>
      <c r="D124" s="105"/>
      <c r="E124" s="80"/>
      <c r="F124" s="80"/>
      <c r="G124" s="80"/>
      <c r="H124" s="81">
        <f>M72</f>
        <v>745.4811568238658</v>
      </c>
    </row>
    <row r="125" spans="1:8" s="65" customFormat="1" ht="12.75">
      <c r="A125" s="79"/>
      <c r="B125" s="79"/>
      <c r="C125" s="79"/>
      <c r="D125" s="79"/>
      <c r="E125" s="79"/>
      <c r="F125" s="79"/>
      <c r="G125" s="79"/>
      <c r="H125" s="82"/>
    </row>
    <row r="126" spans="1:8" s="65" customFormat="1" ht="15.75">
      <c r="A126" s="83" t="s">
        <v>127</v>
      </c>
      <c r="B126" s="83"/>
      <c r="C126" s="83"/>
      <c r="D126" s="83"/>
      <c r="E126" s="83"/>
      <c r="F126" s="83"/>
      <c r="G126" s="83"/>
      <c r="H126" s="81">
        <f>M79</f>
        <v>3232.6576608872047</v>
      </c>
    </row>
    <row r="127" spans="1:8" s="65" customFormat="1" ht="12.75">
      <c r="A127" s="79"/>
      <c r="B127" s="79"/>
      <c r="C127" s="79"/>
      <c r="D127" s="79"/>
      <c r="E127" s="79"/>
      <c r="F127" s="79"/>
      <c r="G127" s="79"/>
      <c r="H127" s="82"/>
    </row>
    <row r="128" spans="1:8" s="65" customFormat="1" ht="15.75">
      <c r="A128" s="80" t="s">
        <v>150</v>
      </c>
      <c r="B128" s="80"/>
      <c r="C128" s="80"/>
      <c r="D128" s="80"/>
      <c r="E128" s="80"/>
      <c r="F128" s="84"/>
      <c r="G128" s="84"/>
      <c r="H128" s="81">
        <f>L89</f>
        <v>1.238930264911804</v>
      </c>
    </row>
    <row r="129" s="65" customFormat="1" ht="12.75"/>
    <row r="130" s="65" customFormat="1" ht="12.75"/>
    <row r="131" s="65" customFormat="1" ht="12.75">
      <c r="H131" s="65" t="s">
        <v>151</v>
      </c>
    </row>
    <row r="132" s="65" customFormat="1" ht="12.75">
      <c r="H132" s="65" t="s">
        <v>146</v>
      </c>
    </row>
    <row r="133" s="65" customFormat="1" ht="12.75">
      <c r="H133" s="65" t="s">
        <v>152</v>
      </c>
    </row>
    <row r="134" s="65" customFormat="1" ht="12.75"/>
    <row r="135" s="65" customFormat="1" ht="12.75"/>
    <row r="136" s="65" customFormat="1" ht="12.75">
      <c r="F136" s="65" t="s">
        <v>153</v>
      </c>
    </row>
    <row r="137" s="65" customFormat="1" ht="12.75">
      <c r="D137" s="65" t="s">
        <v>154</v>
      </c>
    </row>
    <row r="138" s="65" customFormat="1" ht="12.75">
      <c r="D138" s="65" t="s">
        <v>155</v>
      </c>
    </row>
    <row r="139" spans="6:13" s="65" customFormat="1" ht="12.75">
      <c r="F139" s="65" t="s">
        <v>156</v>
      </c>
      <c r="M139" s="65" t="s">
        <v>157</v>
      </c>
    </row>
    <row r="140" s="65" customFormat="1" ht="12.75">
      <c r="M140" s="65" t="s">
        <v>158</v>
      </c>
    </row>
    <row r="141" spans="1:14" s="65" customFormat="1" ht="12.75">
      <c r="A141" s="65" t="s">
        <v>159</v>
      </c>
      <c r="B141" s="65" t="s">
        <v>160</v>
      </c>
      <c r="D141" s="65" t="s">
        <v>161</v>
      </c>
      <c r="F141" s="65" t="s">
        <v>162</v>
      </c>
      <c r="G141" s="65" t="s">
        <v>163</v>
      </c>
      <c r="H141" s="65" t="s">
        <v>164</v>
      </c>
      <c r="J141" s="65" t="s">
        <v>165</v>
      </c>
      <c r="M141" s="73" t="s">
        <v>166</v>
      </c>
      <c r="N141" s="65">
        <v>4928.9</v>
      </c>
    </row>
    <row r="142" spans="1:13" s="65" customFormat="1" ht="12.75">
      <c r="A142" s="65" t="s">
        <v>167</v>
      </c>
      <c r="B142" s="65" t="s">
        <v>168</v>
      </c>
      <c r="D142" s="65" t="s">
        <v>169</v>
      </c>
      <c r="F142" s="65" t="s">
        <v>170</v>
      </c>
      <c r="G142" s="65" t="s">
        <v>171</v>
      </c>
      <c r="H142" s="65" t="s">
        <v>172</v>
      </c>
      <c r="J142" s="65" t="s">
        <v>173</v>
      </c>
      <c r="M142" s="65" t="s">
        <v>174</v>
      </c>
    </row>
    <row r="143" spans="8:9" s="65" customFormat="1" ht="12.75">
      <c r="H143" s="65" t="s">
        <v>175</v>
      </c>
      <c r="I143" s="65" t="s">
        <v>176</v>
      </c>
    </row>
    <row r="144" spans="8:13" s="65" customFormat="1" ht="12.75">
      <c r="H144" s="65" t="s">
        <v>170</v>
      </c>
      <c r="I144" s="65" t="s">
        <v>177</v>
      </c>
      <c r="M144" s="65" t="s">
        <v>178</v>
      </c>
    </row>
    <row r="145" spans="9:13" s="65" customFormat="1" ht="12.75">
      <c r="I145" s="65" t="s">
        <v>179</v>
      </c>
      <c r="M145" s="65" t="s">
        <v>158</v>
      </c>
    </row>
    <row r="146" spans="13:14" s="65" customFormat="1" ht="12.75">
      <c r="M146" s="73" t="s">
        <v>166</v>
      </c>
      <c r="N146" s="65">
        <v>733.9</v>
      </c>
    </row>
    <row r="147" spans="1:13" s="65" customFormat="1" ht="12.75">
      <c r="A147" s="65" t="s">
        <v>180</v>
      </c>
      <c r="B147" s="65" t="s">
        <v>181</v>
      </c>
      <c r="D147" s="65" t="s">
        <v>182</v>
      </c>
      <c r="M147" s="65" t="s">
        <v>174</v>
      </c>
    </row>
    <row r="148" spans="2:4" s="65" customFormat="1" ht="12.75">
      <c r="B148" s="65" t="s">
        <v>183</v>
      </c>
      <c r="D148" s="65" t="s">
        <v>184</v>
      </c>
    </row>
    <row r="149" spans="2:13" s="65" customFormat="1" ht="12.75">
      <c r="B149" s="65" t="s">
        <v>185</v>
      </c>
      <c r="D149" s="65" t="s">
        <v>186</v>
      </c>
      <c r="M149" s="65" t="s">
        <v>187</v>
      </c>
    </row>
    <row r="150" spans="2:13" s="65" customFormat="1" ht="12.75">
      <c r="B150" s="65" t="s">
        <v>188</v>
      </c>
      <c r="D150" s="65" t="s">
        <v>189</v>
      </c>
      <c r="M150" s="65" t="s">
        <v>158</v>
      </c>
    </row>
    <row r="151" spans="2:14" s="65" customFormat="1" ht="12.75">
      <c r="B151" s="65" t="s">
        <v>190</v>
      </c>
      <c r="M151" s="73" t="s">
        <v>166</v>
      </c>
      <c r="N151" s="65">
        <v>1247.6</v>
      </c>
    </row>
    <row r="152" spans="4:13" s="65" customFormat="1" ht="12.75">
      <c r="D152" s="65" t="s">
        <v>191</v>
      </c>
      <c r="M152" s="65" t="s">
        <v>174</v>
      </c>
    </row>
    <row r="153" spans="4:6" s="65" customFormat="1" ht="12.75">
      <c r="D153" s="65" t="s">
        <v>192</v>
      </c>
      <c r="F153" s="65" t="s">
        <v>193</v>
      </c>
    </row>
    <row r="154" spans="4:13" s="65" customFormat="1" ht="12.75">
      <c r="D154" s="65" t="s">
        <v>158</v>
      </c>
      <c r="F154" s="65" t="s">
        <v>194</v>
      </c>
      <c r="H154" s="65">
        <v>0.0687</v>
      </c>
      <c r="I154" s="65">
        <v>0</v>
      </c>
      <c r="K154" s="65">
        <f>N145/1000*H154</f>
        <v>0</v>
      </c>
      <c r="M154" s="65" t="s">
        <v>195</v>
      </c>
    </row>
    <row r="155" spans="4:13" s="65" customFormat="1" ht="12.75">
      <c r="D155" s="65" t="s">
        <v>196</v>
      </c>
      <c r="F155" s="65" t="s">
        <v>197</v>
      </c>
      <c r="H155" s="65">
        <v>0.0763</v>
      </c>
      <c r="I155" s="65">
        <v>0</v>
      </c>
      <c r="K155" s="65">
        <f>N146/1000*H155</f>
        <v>0.05599657</v>
      </c>
      <c r="M155" s="65" t="s">
        <v>158</v>
      </c>
    </row>
    <row r="156" spans="4:13" s="65" customFormat="1" ht="12.75">
      <c r="D156" s="65" t="s">
        <v>198</v>
      </c>
      <c r="F156" s="65" t="s">
        <v>199</v>
      </c>
      <c r="H156" s="65">
        <v>0.0839</v>
      </c>
      <c r="I156" s="65">
        <v>0</v>
      </c>
      <c r="K156" s="69">
        <f>N147/1000*H156</f>
        <v>0</v>
      </c>
      <c r="M156" s="73" t="s">
        <v>166</v>
      </c>
    </row>
    <row r="157" spans="6:13" s="65" customFormat="1" ht="12.75">
      <c r="F157" s="65" t="s">
        <v>200</v>
      </c>
      <c r="M157" s="65" t="s">
        <v>174</v>
      </c>
    </row>
    <row r="158" s="65" customFormat="1" ht="12.75">
      <c r="F158" s="65" t="s">
        <v>190</v>
      </c>
    </row>
    <row r="159" spans="5:9" s="65" customFormat="1" ht="12.75">
      <c r="E159" s="65" t="s">
        <v>201</v>
      </c>
      <c r="I159" s="65">
        <v>0</v>
      </c>
    </row>
    <row r="160" spans="2:4" s="65" customFormat="1" ht="12.75">
      <c r="B160" s="65" t="s">
        <v>202</v>
      </c>
      <c r="D160" s="65" t="s">
        <v>203</v>
      </c>
    </row>
    <row r="161" s="65" customFormat="1" ht="12.75">
      <c r="D161" s="65" t="s">
        <v>204</v>
      </c>
    </row>
    <row r="162" s="65" customFormat="1" ht="12.75">
      <c r="D162" s="65" t="s">
        <v>205</v>
      </c>
    </row>
    <row r="163" s="65" customFormat="1" ht="12.75">
      <c r="D163" s="65" t="s">
        <v>191</v>
      </c>
    </row>
    <row r="164" spans="4:11" s="65" customFormat="1" ht="12.75">
      <c r="D164" s="65" t="s">
        <v>158</v>
      </c>
      <c r="H164" s="65">
        <v>0.00338</v>
      </c>
      <c r="K164" s="69">
        <f>N168/1000*H164</f>
        <v>0</v>
      </c>
    </row>
    <row r="165" spans="4:11" s="65" customFormat="1" ht="12.75">
      <c r="D165" s="65" t="s">
        <v>196</v>
      </c>
      <c r="H165" s="65">
        <v>0.00376</v>
      </c>
      <c r="K165" s="69">
        <f>N169/1000*H165</f>
        <v>0.018532663999999997</v>
      </c>
    </row>
    <row r="166" spans="4:11" s="65" customFormat="1" ht="12.75">
      <c r="D166" s="65" t="s">
        <v>198</v>
      </c>
      <c r="H166" s="65">
        <v>0.00414</v>
      </c>
      <c r="K166" s="69">
        <f>N170/1000*H166</f>
        <v>0</v>
      </c>
    </row>
    <row r="167" s="65" customFormat="1" ht="12.75">
      <c r="M167" s="65" t="s">
        <v>206</v>
      </c>
    </row>
    <row r="168" spans="1:13" s="65" customFormat="1" ht="12.75">
      <c r="A168" s="65" t="s">
        <v>207</v>
      </c>
      <c r="B168" s="65" t="s">
        <v>208</v>
      </c>
      <c r="D168" s="65" t="s">
        <v>203</v>
      </c>
      <c r="M168" s="65" t="s">
        <v>158</v>
      </c>
    </row>
    <row r="169" spans="4:14" s="65" customFormat="1" ht="12.75">
      <c r="D169" s="65" t="s">
        <v>209</v>
      </c>
      <c r="M169" s="73" t="s">
        <v>166</v>
      </c>
      <c r="N169" s="65">
        <f>N141</f>
        <v>4928.9</v>
      </c>
    </row>
    <row r="170" spans="4:13" s="65" customFormat="1" ht="12.75">
      <c r="D170" s="65" t="s">
        <v>191</v>
      </c>
      <c r="M170" s="65" t="s">
        <v>174</v>
      </c>
    </row>
    <row r="171" spans="4:11" s="65" customFormat="1" ht="12.75">
      <c r="D171" s="65" t="s">
        <v>158</v>
      </c>
      <c r="H171" s="65">
        <v>0.02043</v>
      </c>
      <c r="I171" s="65">
        <v>0</v>
      </c>
      <c r="K171" s="65">
        <f>N155/1000*H171</f>
        <v>0</v>
      </c>
    </row>
    <row r="172" spans="4:13" s="65" customFormat="1" ht="12.75">
      <c r="D172" s="65" t="s">
        <v>196</v>
      </c>
      <c r="H172" s="65">
        <v>0.0227</v>
      </c>
      <c r="I172" s="65">
        <v>0</v>
      </c>
      <c r="K172" s="65">
        <f>N156/1000*H172</f>
        <v>0</v>
      </c>
      <c r="M172" s="65" t="s">
        <v>210</v>
      </c>
    </row>
    <row r="173" spans="4:13" s="65" customFormat="1" ht="12.75">
      <c r="D173" s="65" t="s">
        <v>198</v>
      </c>
      <c r="H173" s="65">
        <v>0.02497</v>
      </c>
      <c r="I173" s="65">
        <v>0</v>
      </c>
      <c r="K173" s="65">
        <f>N157/1000*H173</f>
        <v>0</v>
      </c>
      <c r="M173" s="65" t="s">
        <v>158</v>
      </c>
    </row>
    <row r="174" spans="4:14" s="65" customFormat="1" ht="12.75">
      <c r="D174" s="65" t="s">
        <v>211</v>
      </c>
      <c r="M174" s="73" t="s">
        <v>166</v>
      </c>
      <c r="N174" s="65">
        <v>168</v>
      </c>
    </row>
    <row r="175" spans="4:13" s="65" customFormat="1" ht="12.75">
      <c r="D175" s="65" t="s">
        <v>191</v>
      </c>
      <c r="M175" s="65" t="s">
        <v>174</v>
      </c>
    </row>
    <row r="176" spans="4:6" s="65" customFormat="1" ht="12.75">
      <c r="D176" s="65" t="s">
        <v>192</v>
      </c>
      <c r="F176" s="65" t="s">
        <v>193</v>
      </c>
    </row>
    <row r="177" spans="4:11" s="65" customFormat="1" ht="12.75">
      <c r="D177" s="65" t="s">
        <v>158</v>
      </c>
      <c r="H177" s="65">
        <v>0.00999</v>
      </c>
      <c r="K177" s="69">
        <f>N140/1000*H177</f>
        <v>0</v>
      </c>
    </row>
    <row r="178" spans="4:11" s="65" customFormat="1" ht="12.75">
      <c r="D178" s="65" t="s">
        <v>196</v>
      </c>
      <c r="H178" s="65">
        <v>0.0111</v>
      </c>
      <c r="K178" s="69">
        <f>N141/1000*H178</f>
        <v>0.054710789999999995</v>
      </c>
    </row>
    <row r="179" spans="4:11" s="65" customFormat="1" ht="12.75">
      <c r="D179" s="65" t="s">
        <v>198</v>
      </c>
      <c r="H179" s="65">
        <v>0.01221</v>
      </c>
      <c r="I179" s="65">
        <v>0</v>
      </c>
      <c r="K179" s="69">
        <f>N142/1000*H179</f>
        <v>0</v>
      </c>
    </row>
    <row r="180" s="65" customFormat="1" ht="12.75">
      <c r="I180" s="65">
        <v>0</v>
      </c>
    </row>
    <row r="181" spans="5:9" s="65" customFormat="1" ht="12.75">
      <c r="E181" s="65" t="s">
        <v>201</v>
      </c>
      <c r="G181" s="65">
        <v>0</v>
      </c>
      <c r="I181" s="65">
        <v>0</v>
      </c>
    </row>
    <row r="182" spans="1:6" s="65" customFormat="1" ht="12.75">
      <c r="A182" s="65" t="s">
        <v>212</v>
      </c>
      <c r="B182" s="65" t="s">
        <v>213</v>
      </c>
      <c r="D182" s="65" t="s">
        <v>203</v>
      </c>
      <c r="F182" s="65" t="s">
        <v>193</v>
      </c>
    </row>
    <row r="183" spans="2:6" s="65" customFormat="1" ht="12.75">
      <c r="B183" s="65" t="s">
        <v>214</v>
      </c>
      <c r="D183" s="65" t="s">
        <v>209</v>
      </c>
      <c r="F183" s="65" t="s">
        <v>215</v>
      </c>
    </row>
    <row r="184" spans="4:6" s="65" customFormat="1" ht="12.75">
      <c r="D184" s="65" t="s">
        <v>191</v>
      </c>
      <c r="F184" s="65" t="s">
        <v>216</v>
      </c>
    </row>
    <row r="185" spans="4:11" s="65" customFormat="1" ht="12.75">
      <c r="D185" s="65" t="s">
        <v>158</v>
      </c>
      <c r="H185" s="65">
        <v>0.018432</v>
      </c>
      <c r="I185" s="65">
        <v>0</v>
      </c>
      <c r="K185" s="65">
        <f>N155/1000*H185</f>
        <v>0</v>
      </c>
    </row>
    <row r="186" spans="4:11" s="65" customFormat="1" ht="12.75">
      <c r="D186" s="65" t="s">
        <v>196</v>
      </c>
      <c r="H186" s="65">
        <v>0.02048</v>
      </c>
      <c r="I186" s="65">
        <v>0</v>
      </c>
      <c r="K186" s="65">
        <f>N156/1000*H186</f>
        <v>0</v>
      </c>
    </row>
    <row r="187" spans="4:11" s="65" customFormat="1" ht="12.75">
      <c r="D187" s="65" t="s">
        <v>198</v>
      </c>
      <c r="K187" s="65">
        <f>N157/1000*H187</f>
        <v>0</v>
      </c>
    </row>
    <row r="188" s="65" customFormat="1" ht="12.75">
      <c r="D188" s="65" t="s">
        <v>211</v>
      </c>
    </row>
    <row r="189" s="65" customFormat="1" ht="12.75">
      <c r="D189" s="65" t="s">
        <v>191</v>
      </c>
    </row>
    <row r="190" s="65" customFormat="1" ht="12.75">
      <c r="D190" s="65" t="s">
        <v>192</v>
      </c>
    </row>
    <row r="191" spans="4:11" s="65" customFormat="1" ht="12.75">
      <c r="D191" s="65" t="s">
        <v>158</v>
      </c>
      <c r="K191" s="69">
        <f>N140/1000*H191</f>
        <v>0</v>
      </c>
    </row>
    <row r="192" spans="4:11" s="65" customFormat="1" ht="12.75">
      <c r="D192" s="65" t="s">
        <v>196</v>
      </c>
      <c r="H192" s="65">
        <v>0.02295</v>
      </c>
      <c r="I192" s="65">
        <v>0</v>
      </c>
      <c r="K192" s="69">
        <f>N141/1000*H192</f>
        <v>0.113118255</v>
      </c>
    </row>
    <row r="193" spans="4:11" s="65" customFormat="1" ht="12.75">
      <c r="D193" s="65" t="s">
        <v>198</v>
      </c>
      <c r="H193" s="65">
        <v>0.025245</v>
      </c>
      <c r="I193" s="65">
        <v>0</v>
      </c>
      <c r="K193" s="69">
        <f>N142/1000*H193</f>
        <v>0</v>
      </c>
    </row>
    <row r="194" spans="5:11" s="65" customFormat="1" ht="12.75">
      <c r="E194" s="65" t="s">
        <v>201</v>
      </c>
      <c r="G194" s="65">
        <v>0</v>
      </c>
      <c r="I194" s="65">
        <v>0</v>
      </c>
      <c r="K194" s="69"/>
    </row>
    <row r="195" s="65" customFormat="1" ht="12.75">
      <c r="K195" s="69"/>
    </row>
    <row r="196" spans="1:11" s="65" customFormat="1" ht="12.75">
      <c r="A196" s="65" t="s">
        <v>217</v>
      </c>
      <c r="B196" s="65" t="s">
        <v>218</v>
      </c>
      <c r="D196" s="65" t="s">
        <v>203</v>
      </c>
      <c r="K196" s="69"/>
    </row>
    <row r="197" spans="4:11" s="65" customFormat="1" ht="12.75">
      <c r="D197" s="65" t="s">
        <v>209</v>
      </c>
      <c r="K197" s="69"/>
    </row>
    <row r="198" spans="4:11" s="65" customFormat="1" ht="12.75">
      <c r="D198" s="65" t="s">
        <v>191</v>
      </c>
      <c r="K198" s="69"/>
    </row>
    <row r="199" spans="4:11" s="65" customFormat="1" ht="12.75">
      <c r="D199" s="65" t="s">
        <v>158</v>
      </c>
      <c r="H199" s="65">
        <v>0.027585</v>
      </c>
      <c r="I199" s="65">
        <v>0</v>
      </c>
      <c r="K199" s="69">
        <f>N155/1000*H199</f>
        <v>0</v>
      </c>
    </row>
    <row r="200" spans="4:11" s="65" customFormat="1" ht="12.75">
      <c r="D200" s="65" t="s">
        <v>196</v>
      </c>
      <c r="H200" s="65">
        <v>0.3065</v>
      </c>
      <c r="I200" s="65">
        <v>0</v>
      </c>
      <c r="K200" s="69">
        <f>N156/1000*H200</f>
        <v>0</v>
      </c>
    </row>
    <row r="201" spans="4:11" s="65" customFormat="1" ht="12.75">
      <c r="D201" s="65" t="s">
        <v>198</v>
      </c>
      <c r="K201" s="69">
        <f>N157/1000*H201</f>
        <v>0</v>
      </c>
    </row>
    <row r="202" spans="4:11" s="65" customFormat="1" ht="12.75">
      <c r="D202" s="65" t="s">
        <v>211</v>
      </c>
      <c r="K202" s="69"/>
    </row>
    <row r="203" spans="4:11" s="65" customFormat="1" ht="12.75">
      <c r="D203" s="65" t="s">
        <v>191</v>
      </c>
      <c r="K203" s="69"/>
    </row>
    <row r="204" spans="4:11" s="65" customFormat="1" ht="12.75">
      <c r="D204" s="65" t="s">
        <v>192</v>
      </c>
      <c r="K204" s="69"/>
    </row>
    <row r="205" spans="4:11" s="65" customFormat="1" ht="12.75">
      <c r="D205" s="65" t="s">
        <v>158</v>
      </c>
      <c r="K205" s="69">
        <f>N140/1000*H205</f>
        <v>0</v>
      </c>
    </row>
    <row r="206" spans="4:11" s="65" customFormat="1" ht="12.75">
      <c r="D206" s="65" t="s">
        <v>196</v>
      </c>
      <c r="H206" s="65">
        <v>0.00539</v>
      </c>
      <c r="I206" s="65">
        <v>0</v>
      </c>
      <c r="K206" s="69">
        <f>N141/1000*H206</f>
        <v>0.026566770999999996</v>
      </c>
    </row>
    <row r="207" spans="4:11" s="65" customFormat="1" ht="12.75">
      <c r="D207" s="65" t="s">
        <v>198</v>
      </c>
      <c r="H207" s="65">
        <v>0.005929</v>
      </c>
      <c r="I207" s="65">
        <v>0</v>
      </c>
      <c r="K207" s="69">
        <f>N142/1000*H207</f>
        <v>0</v>
      </c>
    </row>
    <row r="208" spans="5:11" s="65" customFormat="1" ht="12.75">
      <c r="E208" s="65" t="s">
        <v>201</v>
      </c>
      <c r="G208" s="65">
        <v>0</v>
      </c>
      <c r="I208" s="65">
        <v>0</v>
      </c>
      <c r="K208" s="69"/>
    </row>
    <row r="209" s="65" customFormat="1" ht="12.75">
      <c r="K209" s="69"/>
    </row>
    <row r="210" spans="1:11" s="65" customFormat="1" ht="12.75">
      <c r="A210" s="65" t="s">
        <v>219</v>
      </c>
      <c r="B210" s="65" t="s">
        <v>220</v>
      </c>
      <c r="D210" s="65" t="s">
        <v>203</v>
      </c>
      <c r="K210" s="69"/>
    </row>
    <row r="211" spans="2:11" s="65" customFormat="1" ht="12.75">
      <c r="B211" s="65" t="s">
        <v>214</v>
      </c>
      <c r="D211" s="65" t="s">
        <v>209</v>
      </c>
      <c r="K211" s="69"/>
    </row>
    <row r="212" spans="4:11" s="65" customFormat="1" ht="12.75">
      <c r="D212" s="65" t="s">
        <v>191</v>
      </c>
      <c r="K212" s="69"/>
    </row>
    <row r="213" spans="4:11" s="65" customFormat="1" ht="12.75">
      <c r="D213" s="65" t="s">
        <v>158</v>
      </c>
      <c r="H213" s="65">
        <v>0.022437</v>
      </c>
      <c r="I213" s="65">
        <v>0</v>
      </c>
      <c r="K213" s="69">
        <f>N155/1000*H213</f>
        <v>0</v>
      </c>
    </row>
    <row r="214" spans="4:11" s="65" customFormat="1" ht="12.75">
      <c r="D214" s="65" t="s">
        <v>196</v>
      </c>
      <c r="H214" s="65">
        <v>0.02493</v>
      </c>
      <c r="I214" s="65">
        <v>0</v>
      </c>
      <c r="K214" s="69">
        <f>N156/1000*H214</f>
        <v>0</v>
      </c>
    </row>
    <row r="215" spans="4:11" s="65" customFormat="1" ht="12.75">
      <c r="D215" s="65" t="s">
        <v>198</v>
      </c>
      <c r="K215" s="65">
        <f>N157/1000*H215</f>
        <v>0</v>
      </c>
    </row>
    <row r="216" s="65" customFormat="1" ht="12.75">
      <c r="D216" s="65" t="s">
        <v>211</v>
      </c>
    </row>
    <row r="217" s="65" customFormat="1" ht="12.75">
      <c r="D217" s="65" t="s">
        <v>191</v>
      </c>
    </row>
    <row r="218" s="65" customFormat="1" ht="12.75">
      <c r="D218" s="65" t="s">
        <v>192</v>
      </c>
    </row>
    <row r="219" spans="4:11" s="65" customFormat="1" ht="12.75">
      <c r="D219" s="65" t="s">
        <v>158</v>
      </c>
      <c r="K219" s="69">
        <f>N140/1000*H219</f>
        <v>0</v>
      </c>
    </row>
    <row r="220" spans="4:11" s="65" customFormat="1" ht="12.75">
      <c r="D220" s="65" t="s">
        <v>196</v>
      </c>
      <c r="H220" s="65">
        <v>0.00888</v>
      </c>
      <c r="I220" s="65">
        <v>0</v>
      </c>
      <c r="K220" s="69">
        <f>N141/1000*H220</f>
        <v>0.043768632</v>
      </c>
    </row>
    <row r="221" spans="4:11" s="65" customFormat="1" ht="12.75">
      <c r="D221" s="65" t="s">
        <v>198</v>
      </c>
      <c r="H221" s="65">
        <v>0.009768</v>
      </c>
      <c r="I221" s="65">
        <v>0</v>
      </c>
      <c r="K221" s="69">
        <f>N142/1000*H221</f>
        <v>0</v>
      </c>
    </row>
    <row r="222" spans="5:11" s="65" customFormat="1" ht="12.75">
      <c r="E222" s="65" t="s">
        <v>201</v>
      </c>
      <c r="G222" s="65">
        <v>0</v>
      </c>
      <c r="I222" s="65">
        <v>0</v>
      </c>
      <c r="K222" s="69"/>
    </row>
    <row r="223" s="65" customFormat="1" ht="12.75">
      <c r="K223" s="69"/>
    </row>
    <row r="224" spans="2:4" s="65" customFormat="1" ht="12.75">
      <c r="B224" s="65" t="s">
        <v>221</v>
      </c>
      <c r="D224" s="65" t="s">
        <v>203</v>
      </c>
    </row>
    <row r="225" s="65" customFormat="1" ht="12.75">
      <c r="D225" s="65" t="s">
        <v>204</v>
      </c>
    </row>
    <row r="226" s="65" customFormat="1" ht="12.75">
      <c r="D226" s="65" t="s">
        <v>205</v>
      </c>
    </row>
    <row r="227" s="65" customFormat="1" ht="12.75">
      <c r="D227" s="65" t="s">
        <v>191</v>
      </c>
    </row>
    <row r="228" spans="4:11" s="65" customFormat="1" ht="12.75">
      <c r="D228" s="65" t="s">
        <v>158</v>
      </c>
      <c r="H228" s="65">
        <v>0.0243</v>
      </c>
      <c r="K228" s="69">
        <f>N168/1000*H228</f>
        <v>0</v>
      </c>
    </row>
    <row r="229" spans="4:11" s="65" customFormat="1" ht="12.75">
      <c r="D229" s="65" t="s">
        <v>196</v>
      </c>
      <c r="H229" s="65">
        <v>0.027</v>
      </c>
      <c r="K229" s="69">
        <f>N169/1000*H229</f>
        <v>0.13308029999999998</v>
      </c>
    </row>
    <row r="230" spans="4:11" s="65" customFormat="1" ht="12.75">
      <c r="D230" s="65" t="s">
        <v>198</v>
      </c>
      <c r="H230" s="65">
        <v>0.0297</v>
      </c>
      <c r="K230" s="69">
        <f>N170/1000*H230</f>
        <v>0</v>
      </c>
    </row>
    <row r="231" spans="1:11" s="65" customFormat="1" ht="12.75">
      <c r="A231" s="65" t="s">
        <v>222</v>
      </c>
      <c r="B231" s="65" t="s">
        <v>223</v>
      </c>
      <c r="D231" s="65" t="s">
        <v>203</v>
      </c>
      <c r="K231" s="69"/>
    </row>
    <row r="232" spans="4:11" s="65" customFormat="1" ht="12.75">
      <c r="D232" s="65" t="s">
        <v>209</v>
      </c>
      <c r="K232" s="69"/>
    </row>
    <row r="233" spans="4:11" s="65" customFormat="1" ht="12.75">
      <c r="D233" s="65" t="s">
        <v>191</v>
      </c>
      <c r="K233" s="69"/>
    </row>
    <row r="234" spans="4:11" s="65" customFormat="1" ht="12.75">
      <c r="D234" s="65" t="s">
        <v>158</v>
      </c>
      <c r="H234" s="65">
        <v>0.01773</v>
      </c>
      <c r="I234" s="65">
        <v>0</v>
      </c>
      <c r="K234" s="69">
        <f>N155/1000*H234</f>
        <v>0</v>
      </c>
    </row>
    <row r="235" spans="4:11" s="65" customFormat="1" ht="12.75">
      <c r="D235" s="65" t="s">
        <v>196</v>
      </c>
      <c r="H235" s="65">
        <v>0.0197</v>
      </c>
      <c r="I235" s="65">
        <v>0</v>
      </c>
      <c r="K235" s="69">
        <f>N156/1000*H235</f>
        <v>0</v>
      </c>
    </row>
    <row r="236" spans="4:11" s="65" customFormat="1" ht="12.75">
      <c r="D236" s="65" t="s">
        <v>198</v>
      </c>
      <c r="K236" s="69">
        <f>N157/1000*H236</f>
        <v>0</v>
      </c>
    </row>
    <row r="237" spans="4:11" s="65" customFormat="1" ht="12.75">
      <c r="D237" s="65" t="s">
        <v>211</v>
      </c>
      <c r="K237" s="69"/>
    </row>
    <row r="238" spans="4:11" s="65" customFormat="1" ht="12.75">
      <c r="D238" s="65" t="s">
        <v>191</v>
      </c>
      <c r="K238" s="69"/>
    </row>
    <row r="239" spans="4:11" s="65" customFormat="1" ht="12.75">
      <c r="D239" s="65" t="s">
        <v>192</v>
      </c>
      <c r="K239" s="69"/>
    </row>
    <row r="240" spans="4:11" s="65" customFormat="1" ht="12.75">
      <c r="D240" s="65" t="s">
        <v>158</v>
      </c>
      <c r="K240" s="69">
        <f>N140/1000*H240</f>
        <v>0</v>
      </c>
    </row>
    <row r="241" spans="4:11" s="65" customFormat="1" ht="12.75">
      <c r="D241" s="65" t="s">
        <v>196</v>
      </c>
      <c r="H241" s="65">
        <v>0.0018</v>
      </c>
      <c r="I241" s="65">
        <v>0</v>
      </c>
      <c r="K241" s="69">
        <f>N141/1000*H241</f>
        <v>0.00887202</v>
      </c>
    </row>
    <row r="242" spans="4:11" s="65" customFormat="1" ht="12.75">
      <c r="D242" s="65" t="s">
        <v>198</v>
      </c>
      <c r="H242" s="65">
        <v>0.00198</v>
      </c>
      <c r="I242" s="65">
        <v>0</v>
      </c>
      <c r="K242" s="69">
        <f>N142/1000*H242</f>
        <v>0</v>
      </c>
    </row>
    <row r="243" spans="5:11" s="65" customFormat="1" ht="12.75">
      <c r="E243" s="65" t="s">
        <v>201</v>
      </c>
      <c r="G243" s="65">
        <v>0</v>
      </c>
      <c r="I243" s="65">
        <v>0</v>
      </c>
      <c r="K243" s="69"/>
    </row>
    <row r="244" s="65" customFormat="1" ht="12.75">
      <c r="K244" s="69"/>
    </row>
    <row r="245" spans="2:7" s="65" customFormat="1" ht="12.75">
      <c r="B245" s="65" t="s">
        <v>224</v>
      </c>
      <c r="D245" s="65" t="s">
        <v>203</v>
      </c>
      <c r="G245" s="65" t="s">
        <v>225</v>
      </c>
    </row>
    <row r="246" spans="4:7" s="65" customFormat="1" ht="12.75">
      <c r="D246" s="65" t="s">
        <v>204</v>
      </c>
      <c r="G246" s="65" t="s">
        <v>226</v>
      </c>
    </row>
    <row r="247" spans="4:7" s="65" customFormat="1" ht="12.75">
      <c r="D247" s="65" t="s">
        <v>205</v>
      </c>
      <c r="G247" s="65" t="s">
        <v>227</v>
      </c>
    </row>
    <row r="248" s="65" customFormat="1" ht="12.75">
      <c r="D248" s="65" t="s">
        <v>191</v>
      </c>
    </row>
    <row r="249" spans="4:11" s="65" customFormat="1" ht="12.75">
      <c r="D249" s="65" t="s">
        <v>158</v>
      </c>
      <c r="H249" s="65">
        <v>0.02367</v>
      </c>
      <c r="K249" s="69">
        <f>N150/1000*H249</f>
        <v>0</v>
      </c>
    </row>
    <row r="250" spans="4:11" s="65" customFormat="1" ht="12.75">
      <c r="D250" s="65" t="s">
        <v>196</v>
      </c>
      <c r="H250" s="65">
        <v>0.0263</v>
      </c>
      <c r="K250" s="69">
        <f>N151/1000*H250</f>
        <v>0.032811879999999995</v>
      </c>
    </row>
    <row r="251" spans="4:11" s="65" customFormat="1" ht="12.75">
      <c r="D251" s="65" t="s">
        <v>198</v>
      </c>
      <c r="H251" s="65">
        <v>0.02893</v>
      </c>
      <c r="K251" s="69">
        <f>N152/1000*H251</f>
        <v>0</v>
      </c>
    </row>
    <row r="252" s="65" customFormat="1" ht="12.75">
      <c r="K252" s="69"/>
    </row>
    <row r="253" spans="1:11" s="65" customFormat="1" ht="12.75">
      <c r="A253" s="65" t="s">
        <v>228</v>
      </c>
      <c r="B253" s="65" t="s">
        <v>229</v>
      </c>
      <c r="D253" s="65" t="s">
        <v>203</v>
      </c>
      <c r="K253" s="69"/>
    </row>
    <row r="254" spans="2:11" s="65" customFormat="1" ht="12.75">
      <c r="B254" s="65" t="s">
        <v>230</v>
      </c>
      <c r="D254" s="65" t="s">
        <v>209</v>
      </c>
      <c r="K254" s="69"/>
    </row>
    <row r="255" spans="4:11" s="65" customFormat="1" ht="12.75">
      <c r="D255" s="65" t="s">
        <v>191</v>
      </c>
      <c r="K255" s="69"/>
    </row>
    <row r="256" spans="4:11" s="65" customFormat="1" ht="12.75">
      <c r="D256" s="65" t="s">
        <v>158</v>
      </c>
      <c r="H256" s="65">
        <v>0.014679</v>
      </c>
      <c r="I256" s="65">
        <v>0</v>
      </c>
      <c r="K256" s="69">
        <f>N155/1000*H256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N156/1000*H257</f>
        <v>0</v>
      </c>
    </row>
    <row r="258" spans="4:11" s="65" customFormat="1" ht="12.75">
      <c r="D258" s="65" t="s">
        <v>198</v>
      </c>
      <c r="K258" s="69">
        <f>N157/1000*H258</f>
        <v>0</v>
      </c>
    </row>
    <row r="259" spans="4:11" s="65" customFormat="1" ht="12.75">
      <c r="D259" s="65" t="s">
        <v>211</v>
      </c>
      <c r="K259" s="69"/>
    </row>
    <row r="260" spans="4:11" s="65" customFormat="1" ht="12.75">
      <c r="D260" s="65" t="s">
        <v>191</v>
      </c>
      <c r="K260" s="69"/>
    </row>
    <row r="261" spans="4:11" s="65" customFormat="1" ht="12.75">
      <c r="D261" s="65" t="s">
        <v>192</v>
      </c>
      <c r="K261" s="69"/>
    </row>
    <row r="262" spans="4:11" s="65" customFormat="1" ht="12.75">
      <c r="D262" s="65" t="s">
        <v>158</v>
      </c>
      <c r="K262" s="69">
        <f>N140/1000*H262</f>
        <v>0</v>
      </c>
    </row>
    <row r="263" spans="4:11" s="65" customFormat="1" ht="12.75">
      <c r="D263" s="65" t="s">
        <v>196</v>
      </c>
      <c r="H263" s="65">
        <v>0.01631</v>
      </c>
      <c r="I263" s="65">
        <v>0</v>
      </c>
      <c r="K263" s="69">
        <f>N141/1000*H263</f>
        <v>0.080390359</v>
      </c>
    </row>
    <row r="264" spans="4:11" s="65" customFormat="1" ht="12.75">
      <c r="D264" s="65" t="s">
        <v>198</v>
      </c>
      <c r="H264" s="65">
        <v>0.017941</v>
      </c>
      <c r="I264" s="65">
        <v>0</v>
      </c>
      <c r="K264" s="69">
        <f>N142/1000*H264</f>
        <v>0</v>
      </c>
    </row>
    <row r="265" spans="5:11" s="65" customFormat="1" ht="12.75">
      <c r="E265" s="65" t="s">
        <v>201</v>
      </c>
      <c r="G265" s="65">
        <v>0</v>
      </c>
      <c r="I265" s="65">
        <v>0</v>
      </c>
      <c r="K265" s="69"/>
    </row>
    <row r="266" s="65" customFormat="1" ht="12.75">
      <c r="K266" s="69"/>
    </row>
    <row r="267" spans="1:11" s="65" customFormat="1" ht="12.75">
      <c r="A267" s="65" t="s">
        <v>231</v>
      </c>
      <c r="B267" s="65" t="s">
        <v>232</v>
      </c>
      <c r="D267" s="65" t="s">
        <v>203</v>
      </c>
      <c r="K267" s="69"/>
    </row>
    <row r="268" spans="2:11" s="65" customFormat="1" ht="12.75">
      <c r="B268" s="65" t="s">
        <v>233</v>
      </c>
      <c r="D268" s="65" t="s">
        <v>211</v>
      </c>
      <c r="K268" s="69"/>
    </row>
    <row r="269" spans="4:11" s="65" customFormat="1" ht="12.75">
      <c r="D269" s="65" t="s">
        <v>209</v>
      </c>
      <c r="K269" s="69"/>
    </row>
    <row r="270" spans="4:11" s="65" customFormat="1" ht="12.75">
      <c r="D270" s="65" t="s">
        <v>234</v>
      </c>
      <c r="K270" s="69"/>
    </row>
    <row r="271" spans="4:11" s="65" customFormat="1" ht="12.75">
      <c r="D271" s="65" t="s">
        <v>235</v>
      </c>
      <c r="F271" s="65" t="s">
        <v>236</v>
      </c>
      <c r="K271" s="69"/>
    </row>
    <row r="272" spans="4:11" s="65" customFormat="1" ht="12.75">
      <c r="D272" s="65" t="s">
        <v>191</v>
      </c>
      <c r="F272" s="65" t="s">
        <v>237</v>
      </c>
      <c r="K272" s="69"/>
    </row>
    <row r="273" spans="4:11" s="65" customFormat="1" ht="12.75">
      <c r="D273" s="65" t="s">
        <v>158</v>
      </c>
      <c r="H273" s="65">
        <v>41000</v>
      </c>
      <c r="I273" s="65">
        <v>0</v>
      </c>
      <c r="K273" s="69">
        <f>N168/H273</f>
        <v>0</v>
      </c>
    </row>
    <row r="274" spans="4:11" s="65" customFormat="1" ht="12.75">
      <c r="D274" s="65" t="s">
        <v>196</v>
      </c>
      <c r="H274" s="65">
        <v>39000</v>
      </c>
      <c r="I274" s="65">
        <v>0</v>
      </c>
      <c r="K274" s="69">
        <f>N169/H274</f>
        <v>0.12638205128205127</v>
      </c>
    </row>
    <row r="275" spans="4:11" s="65" customFormat="1" ht="12.75">
      <c r="D275" s="65" t="s">
        <v>198</v>
      </c>
      <c r="H275" s="65">
        <v>37000</v>
      </c>
      <c r="I275" s="65">
        <v>0</v>
      </c>
      <c r="K275" s="69">
        <f>N170/H275</f>
        <v>0</v>
      </c>
    </row>
    <row r="276" s="65" customFormat="1" ht="12.75">
      <c r="K276" s="69"/>
    </row>
    <row r="277" spans="4:11" s="65" customFormat="1" ht="12.75">
      <c r="D277" s="65" t="s">
        <v>238</v>
      </c>
      <c r="K277" s="69"/>
    </row>
    <row r="278" spans="4:11" s="65" customFormat="1" ht="12.75">
      <c r="D278" s="65" t="s">
        <v>239</v>
      </c>
      <c r="F278" s="65" t="s">
        <v>240</v>
      </c>
      <c r="K278" s="69"/>
    </row>
    <row r="279" spans="4:11" s="65" customFormat="1" ht="12.75">
      <c r="D279" s="65" t="s">
        <v>191</v>
      </c>
      <c r="K279" s="69"/>
    </row>
    <row r="280" spans="4:11" s="65" customFormat="1" ht="12.75">
      <c r="D280" s="65" t="s">
        <v>158</v>
      </c>
      <c r="H280" s="65">
        <v>450</v>
      </c>
      <c r="I280" s="65">
        <v>0</v>
      </c>
      <c r="K280" s="69">
        <f>N173/H280</f>
        <v>0</v>
      </c>
    </row>
    <row r="281" spans="4:11" s="65" customFormat="1" ht="12.75">
      <c r="D281" s="65" t="s">
        <v>196</v>
      </c>
      <c r="H281" s="65">
        <v>375</v>
      </c>
      <c r="I281" s="65">
        <v>0</v>
      </c>
      <c r="K281" s="69">
        <f>N174/H281</f>
        <v>0.448</v>
      </c>
    </row>
    <row r="282" spans="4:11" s="65" customFormat="1" ht="12.75">
      <c r="D282" s="65" t="s">
        <v>198</v>
      </c>
      <c r="H282" s="65">
        <v>310</v>
      </c>
      <c r="I282" s="65">
        <v>0</v>
      </c>
      <c r="K282" s="69">
        <f>N175/H282</f>
        <v>0</v>
      </c>
    </row>
    <row r="283" spans="5:11" s="65" customFormat="1" ht="12.75">
      <c r="E283" s="65" t="s">
        <v>201</v>
      </c>
      <c r="G283" s="65">
        <v>0</v>
      </c>
      <c r="I283" s="65">
        <v>0</v>
      </c>
      <c r="K283" s="69"/>
    </row>
    <row r="284" s="65" customFormat="1" ht="12.75">
      <c r="K284" s="69"/>
    </row>
    <row r="285" spans="1:11" s="65" customFormat="1" ht="12.75">
      <c r="A285" s="65" t="s">
        <v>241</v>
      </c>
      <c r="B285" s="65" t="s">
        <v>242</v>
      </c>
      <c r="D285" s="65" t="s">
        <v>243</v>
      </c>
      <c r="K285" s="69"/>
    </row>
    <row r="286" spans="4:11" s="65" customFormat="1" ht="12.75">
      <c r="D286" s="65" t="s">
        <v>244</v>
      </c>
      <c r="F286" s="65" t="s">
        <v>240</v>
      </c>
      <c r="K286" s="69"/>
    </row>
    <row r="287" spans="4:11" s="65" customFormat="1" ht="12.75">
      <c r="D287" s="65" t="s">
        <v>245</v>
      </c>
      <c r="K287" s="69"/>
    </row>
    <row r="288" spans="4:11" s="65" customFormat="1" ht="12.75">
      <c r="D288" s="65" t="s">
        <v>158</v>
      </c>
      <c r="H288" s="65">
        <v>2350</v>
      </c>
      <c r="I288" s="65">
        <v>0</v>
      </c>
      <c r="K288" s="69">
        <f>N173/H288</f>
        <v>0</v>
      </c>
    </row>
    <row r="289" spans="4:11" s="65" customFormat="1" ht="12.75">
      <c r="D289" s="65" t="s">
        <v>196</v>
      </c>
      <c r="H289" s="65">
        <v>2250</v>
      </c>
      <c r="I289" s="65">
        <v>0</v>
      </c>
      <c r="K289" s="69">
        <f>N174/H289</f>
        <v>0.07466666666666667</v>
      </c>
    </row>
    <row r="290" spans="4:11" s="65" customFormat="1" ht="12.75">
      <c r="D290" s="65" t="s">
        <v>198</v>
      </c>
      <c r="H290" s="65">
        <v>2200</v>
      </c>
      <c r="I290" s="65">
        <v>0</v>
      </c>
      <c r="K290" s="69">
        <f>N175/H290</f>
        <v>0</v>
      </c>
    </row>
    <row r="291" spans="5:11" s="65" customFormat="1" ht="12.75">
      <c r="E291" s="65" t="s">
        <v>201</v>
      </c>
      <c r="G291" s="65">
        <v>0</v>
      </c>
      <c r="I291" s="65">
        <v>0</v>
      </c>
      <c r="K291" s="69"/>
    </row>
    <row r="292" s="65" customFormat="1" ht="12.75">
      <c r="K292" s="69">
        <f>K154+K155+K156+K164+K165+K166+K171+K172+K173+K177+K178+K179+K185+K186+K187+K191+K192+K193+K199+K200+K201+K205+K206+K207+K213+K214+K215+K219+K220+K221+K228+K229+K230+K234+K235+K236+K240+K241+K242+K249+K250+K251+K256+K257+K258+K262+K263+K264+K273+K274+K275+K280+K281+K282+K288+K289+K290</f>
        <v>1.216896958948718</v>
      </c>
    </row>
    <row r="293" spans="1:11" s="65" customFormat="1" ht="12.75">
      <c r="A293" s="65" t="s">
        <v>246</v>
      </c>
      <c r="B293" s="65" t="s">
        <v>247</v>
      </c>
      <c r="F293" s="65" t="s">
        <v>248</v>
      </c>
      <c r="I293" s="65">
        <v>1</v>
      </c>
      <c r="K293" s="69">
        <f>K292*1.12</f>
        <v>1.3629245940225643</v>
      </c>
    </row>
    <row r="294" s="65" customFormat="1" ht="12.75">
      <c r="B294" s="65" t="s">
        <v>249</v>
      </c>
    </row>
    <row r="295" s="65" customFormat="1" ht="12.75">
      <c r="B295" s="65" t="s">
        <v>250</v>
      </c>
    </row>
    <row r="296" s="65" customFormat="1" ht="12.75"/>
    <row r="297" spans="1:9" s="65" customFormat="1" ht="12.75">
      <c r="A297" s="65" t="s">
        <v>251</v>
      </c>
      <c r="B297" s="65" t="s">
        <v>252</v>
      </c>
      <c r="I297" s="65">
        <v>2</v>
      </c>
    </row>
    <row r="298" spans="1:9" s="65" customFormat="1" ht="12.75">
      <c r="A298" s="65" t="s">
        <v>253</v>
      </c>
      <c r="B298" s="65" t="s">
        <v>254</v>
      </c>
      <c r="I298" s="65">
        <v>1</v>
      </c>
    </row>
    <row r="299" spans="1:9" s="65" customFormat="1" ht="12.75">
      <c r="A299" s="65" t="s">
        <v>255</v>
      </c>
      <c r="B299" s="65" t="s">
        <v>256</v>
      </c>
      <c r="I299" s="65">
        <v>1</v>
      </c>
    </row>
    <row r="300" spans="2:9" s="65" customFormat="1" ht="12.75">
      <c r="B300" s="65" t="s">
        <v>257</v>
      </c>
      <c r="I300" s="65">
        <v>5</v>
      </c>
    </row>
    <row r="301" s="65" customFormat="1" ht="12.75">
      <c r="F301" s="65" t="s">
        <v>258</v>
      </c>
    </row>
    <row r="302" spans="1:9" s="65" customFormat="1" ht="12.75">
      <c r="A302" s="65" t="s">
        <v>259</v>
      </c>
      <c r="B302" s="65" t="s">
        <v>260</v>
      </c>
      <c r="E302" s="65" t="s">
        <v>261</v>
      </c>
      <c r="H302" s="65">
        <v>1200</v>
      </c>
      <c r="I302" s="78">
        <f>G302/H302</f>
        <v>0</v>
      </c>
    </row>
    <row r="303" spans="5:9" s="65" customFormat="1" ht="12.75">
      <c r="E303" s="65" t="s">
        <v>262</v>
      </c>
      <c r="G303" s="65">
        <v>1396</v>
      </c>
      <c r="H303" s="65">
        <v>1650</v>
      </c>
      <c r="I303" s="78">
        <f>G303/H303</f>
        <v>0.8460606060606061</v>
      </c>
    </row>
    <row r="304" spans="5:9" s="65" customFormat="1" ht="12.75">
      <c r="E304" s="65" t="s">
        <v>263</v>
      </c>
      <c r="G304" s="65">
        <v>2052</v>
      </c>
      <c r="H304" s="65">
        <v>9000</v>
      </c>
      <c r="I304" s="78">
        <f>G304/H304</f>
        <v>0.228</v>
      </c>
    </row>
    <row r="305" spans="3:9" s="65" customFormat="1" ht="12.75">
      <c r="C305" s="65" t="s">
        <v>201</v>
      </c>
      <c r="G305" s="65">
        <f>G302+G304</f>
        <v>2052</v>
      </c>
      <c r="I305" s="78">
        <f>I302+I303+I304</f>
        <v>1.0740606060606062</v>
      </c>
    </row>
    <row r="306" spans="6:9" s="65" customFormat="1" ht="12.75">
      <c r="F306" s="65" t="s">
        <v>258</v>
      </c>
      <c r="I306" s="78"/>
    </row>
    <row r="307" spans="1:9" s="65" customFormat="1" ht="12.75">
      <c r="A307" s="65" t="s">
        <v>264</v>
      </c>
      <c r="B307" s="65" t="s">
        <v>265</v>
      </c>
      <c r="E307" s="65" t="s">
        <v>266</v>
      </c>
      <c r="H307" s="65">
        <v>800</v>
      </c>
      <c r="I307" s="78">
        <f>G307/H307</f>
        <v>0</v>
      </c>
    </row>
    <row r="308" spans="2:9" s="65" customFormat="1" ht="12.75">
      <c r="B308" s="65" t="s">
        <v>267</v>
      </c>
      <c r="E308" s="65" t="s">
        <v>268</v>
      </c>
      <c r="G308" s="65">
        <v>980</v>
      </c>
      <c r="H308" s="65">
        <v>960</v>
      </c>
      <c r="I308" s="78">
        <f>G308/H308</f>
        <v>1.0208333333333333</v>
      </c>
    </row>
    <row r="309" spans="5:9" s="65" customFormat="1" ht="12.75">
      <c r="E309" s="65" t="s">
        <v>269</v>
      </c>
      <c r="I309" s="78"/>
    </row>
    <row r="310" spans="3:9" s="65" customFormat="1" ht="12.75">
      <c r="C310" s="65" t="s">
        <v>201</v>
      </c>
      <c r="G310" s="65">
        <f>G307+G308+G309</f>
        <v>980</v>
      </c>
      <c r="I310" s="78">
        <f>I307+I308</f>
        <v>1.0208333333333333</v>
      </c>
    </row>
    <row r="311" spans="6:9" s="65" customFormat="1" ht="12.75">
      <c r="F311" s="65" t="s">
        <v>270</v>
      </c>
      <c r="I311" s="78"/>
    </row>
    <row r="312" spans="1:9" s="65" customFormat="1" ht="12.75">
      <c r="A312" s="65" t="s">
        <v>271</v>
      </c>
      <c r="B312" s="65" t="s">
        <v>272</v>
      </c>
      <c r="E312" s="65" t="s">
        <v>273</v>
      </c>
      <c r="H312" s="65">
        <v>500</v>
      </c>
      <c r="I312" s="78">
        <f>G312/H312</f>
        <v>0</v>
      </c>
    </row>
    <row r="313" spans="5:9" s="65" customFormat="1" ht="12.75">
      <c r="E313" s="65" t="s">
        <v>274</v>
      </c>
      <c r="G313" s="65">
        <v>310</v>
      </c>
      <c r="H313" s="65">
        <v>700</v>
      </c>
      <c r="I313" s="78">
        <f>G313/H313</f>
        <v>0.44285714285714284</v>
      </c>
    </row>
    <row r="314" spans="5:9" s="65" customFormat="1" ht="12.75">
      <c r="E314" s="65" t="s">
        <v>275</v>
      </c>
      <c r="I314" s="78"/>
    </row>
    <row r="315" spans="3:9" s="65" customFormat="1" ht="12.75">
      <c r="C315" s="65" t="s">
        <v>201</v>
      </c>
      <c r="G315" s="65">
        <v>0</v>
      </c>
      <c r="I315" s="78">
        <f>I312+I313</f>
        <v>0.44285714285714284</v>
      </c>
    </row>
    <row r="316" spans="1:2" s="65" customFormat="1" ht="12.75">
      <c r="A316" s="65" t="s">
        <v>276</v>
      </c>
      <c r="B316" s="65" t="s">
        <v>277</v>
      </c>
    </row>
    <row r="317" spans="2:9" s="65" customFormat="1" ht="12.75">
      <c r="B317" s="65" t="s">
        <v>278</v>
      </c>
      <c r="I317" s="65">
        <v>2</v>
      </c>
    </row>
  </sheetData>
  <sheetProtection/>
  <mergeCells count="53">
    <mergeCell ref="C105:I105"/>
    <mergeCell ref="A114:G114"/>
    <mergeCell ref="A118:E118"/>
    <mergeCell ref="A120:G120"/>
    <mergeCell ref="A124:D124"/>
    <mergeCell ref="A98:H98"/>
    <mergeCell ref="C80:D80"/>
    <mergeCell ref="A83:F83"/>
    <mergeCell ref="A84:G84"/>
    <mergeCell ref="A85:D85"/>
    <mergeCell ref="E85:G85"/>
    <mergeCell ref="A86:E86"/>
    <mergeCell ref="A64:E64"/>
    <mergeCell ref="A65:G65"/>
    <mergeCell ref="A66:G66"/>
    <mergeCell ref="A72:D72"/>
    <mergeCell ref="A73:F73"/>
    <mergeCell ref="A76:E76"/>
    <mergeCell ref="A50:F50"/>
    <mergeCell ref="A51:F51"/>
    <mergeCell ref="A52:G52"/>
    <mergeCell ref="A53:G53"/>
    <mergeCell ref="A59:F59"/>
    <mergeCell ref="A63:G63"/>
    <mergeCell ref="A41:G41"/>
    <mergeCell ref="A42:G42"/>
    <mergeCell ref="A43:G43"/>
    <mergeCell ref="A44:G44"/>
    <mergeCell ref="A45:F45"/>
    <mergeCell ref="A46:F46"/>
    <mergeCell ref="A35:G35"/>
    <mergeCell ref="A36:G36"/>
    <mergeCell ref="A37:G37"/>
    <mergeCell ref="A38:G38"/>
    <mergeCell ref="A39:D39"/>
    <mergeCell ref="A40:G40"/>
    <mergeCell ref="A28:G28"/>
    <mergeCell ref="A29:G29"/>
    <mergeCell ref="A30:G30"/>
    <mergeCell ref="A31:G31"/>
    <mergeCell ref="A32:E32"/>
    <mergeCell ref="A34:G34"/>
    <mergeCell ref="A19:F19"/>
    <mergeCell ref="A20:F20"/>
    <mergeCell ref="A21:F21"/>
    <mergeCell ref="A25:F25"/>
    <mergeCell ref="A26:G26"/>
    <mergeCell ref="A27:G27"/>
    <mergeCell ref="A1:K1"/>
    <mergeCell ref="A2:K2"/>
    <mergeCell ref="A4:K5"/>
    <mergeCell ref="A6:K6"/>
    <mergeCell ref="A15:G15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N88:N89 H114 K114 H120" evalError="1"/>
  </ignoredError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P316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140625" style="6" customWidth="1"/>
    <col min="12" max="12" width="13.421875" style="79" customWidth="1"/>
    <col min="13" max="13" width="9.140625" style="79" customWidth="1"/>
    <col min="14" max="14" width="9.57421875" style="79" bestFit="1" customWidth="1"/>
    <col min="15" max="16" width="9.140625" style="79" customWidth="1"/>
    <col min="17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897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4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79">
        <f>11.18*1.042</f>
        <v>11.64956</v>
      </c>
      <c r="N5" s="79">
        <f>M5*0.04</f>
        <v>0.46598239999999996</v>
      </c>
    </row>
    <row r="6" spans="1:14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79">
        <f>11.18*1.042</f>
        <v>11.64956</v>
      </c>
      <c r="N6" s="79">
        <f>M6*0.04</f>
        <v>0.46598239999999996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6" s="9" customFormat="1" ht="15.75">
      <c r="A11" s="11"/>
      <c r="B11" s="11"/>
      <c r="C11" s="12"/>
      <c r="D11" s="11"/>
      <c r="K11" s="5"/>
      <c r="L11" s="134"/>
      <c r="M11" s="134"/>
      <c r="N11" s="134"/>
      <c r="O11" s="134"/>
      <c r="P11" s="134"/>
    </row>
    <row r="12" spans="1:16" s="9" customFormat="1" ht="15.75">
      <c r="A12" s="11" t="s">
        <v>69</v>
      </c>
      <c r="B12" s="11"/>
      <c r="C12" s="12"/>
      <c r="D12" s="11"/>
      <c r="E12" s="9">
        <v>50517.817</v>
      </c>
      <c r="F12" s="9" t="s">
        <v>70</v>
      </c>
      <c r="H12" s="13"/>
      <c r="I12" s="13"/>
      <c r="K12" s="13"/>
      <c r="L12" s="134"/>
      <c r="M12" s="134"/>
      <c r="N12" s="134"/>
      <c r="O12" s="134"/>
      <c r="P12" s="134"/>
    </row>
    <row r="13" spans="1:16" s="9" customFormat="1" ht="15.75">
      <c r="A13" s="11"/>
      <c r="B13" s="11"/>
      <c r="C13" s="12"/>
      <c r="D13" s="11"/>
      <c r="H13" s="13"/>
      <c r="I13" s="13"/>
      <c r="K13" s="13"/>
      <c r="L13" s="134"/>
      <c r="M13" s="134"/>
      <c r="N13" s="134"/>
      <c r="O13" s="134"/>
      <c r="P13" s="134"/>
    </row>
    <row r="14" spans="3:16" s="9" customFormat="1" ht="15.75">
      <c r="C14" s="15" t="s">
        <v>71</v>
      </c>
      <c r="D14" s="15"/>
      <c r="K14" s="5"/>
      <c r="L14" s="134"/>
      <c r="M14" s="134"/>
      <c r="N14" s="134"/>
      <c r="O14" s="134"/>
      <c r="P14" s="134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K17+K32+K56+K72+K79+K89+K48</f>
        <v>54012.7630613868</v>
      </c>
      <c r="L15" s="135"/>
      <c r="M15" s="79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136"/>
      <c r="M16" s="79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H19+H20+H21+H23+H25+H26+H28+H29+H30</f>
        <v>11183.896352261654</v>
      </c>
      <c r="M17" s="79" t="s">
        <v>76</v>
      </c>
      <c r="O17" s="82">
        <f>I304</f>
        <v>0.904040404040404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79" t="s">
        <v>78</v>
      </c>
      <c r="O18" s="82">
        <f>I309</f>
        <v>1.0208333333333333</v>
      </c>
    </row>
    <row r="19" spans="1:15" ht="12.75">
      <c r="A19" s="113" t="s">
        <v>898</v>
      </c>
      <c r="B19" s="113"/>
      <c r="C19" s="113"/>
      <c r="D19" s="113"/>
      <c r="E19" s="113"/>
      <c r="F19" s="113"/>
      <c r="G19" s="22"/>
      <c r="H19" s="23">
        <f>O17*2600*1.75*1.07</f>
        <v>4401.320707070708</v>
      </c>
      <c r="I19" s="22"/>
      <c r="J19" s="22"/>
      <c r="K19" s="23"/>
      <c r="M19" s="79" t="s">
        <v>80</v>
      </c>
      <c r="O19" s="82">
        <f>I314</f>
        <v>0.4114285714285714</v>
      </c>
    </row>
    <row r="20" spans="1:15" ht="12.75">
      <c r="A20" s="113" t="s">
        <v>840</v>
      </c>
      <c r="B20" s="113"/>
      <c r="C20" s="113"/>
      <c r="D20" s="113"/>
      <c r="E20" s="113"/>
      <c r="F20" s="113"/>
      <c r="G20" s="22"/>
      <c r="H20" s="23">
        <f>O19*2600*1.5*1.07</f>
        <v>1716.8914285714288</v>
      </c>
      <c r="I20" s="22"/>
      <c r="J20" s="22"/>
      <c r="K20" s="23"/>
      <c r="M20" s="79" t="s">
        <v>314</v>
      </c>
      <c r="O20" s="79">
        <v>4317.7</v>
      </c>
    </row>
    <row r="21" spans="1:15" ht="12.75">
      <c r="A21" s="113" t="s">
        <v>841</v>
      </c>
      <c r="B21" s="113"/>
      <c r="C21" s="113"/>
      <c r="D21" s="113"/>
      <c r="E21" s="113"/>
      <c r="F21" s="113"/>
      <c r="G21" s="22"/>
      <c r="H21" s="23">
        <f>O18*2203*1.3*1.07</f>
        <v>3128.2141041666664</v>
      </c>
      <c r="I21" s="22"/>
      <c r="J21" s="22"/>
      <c r="K21" s="23"/>
      <c r="M21" s="79" t="s">
        <v>83</v>
      </c>
      <c r="O21" s="79">
        <v>288</v>
      </c>
    </row>
    <row r="22" spans="1:13" ht="12.75" hidden="1">
      <c r="A22" s="22"/>
      <c r="B22" s="22"/>
      <c r="C22" s="22"/>
      <c r="D22" s="22"/>
      <c r="E22" s="22"/>
      <c r="F22" s="22"/>
      <c r="G22" s="22"/>
      <c r="H22" s="23"/>
      <c r="I22" s="22"/>
      <c r="J22" s="22"/>
      <c r="M22" s="79" t="s">
        <v>316</v>
      </c>
    </row>
    <row r="23" spans="1:16" ht="12.75">
      <c r="A23" s="23">
        <f>H19+H20+H21</f>
        <v>9246.426239808803</v>
      </c>
      <c r="B23" s="22" t="s">
        <v>84</v>
      </c>
      <c r="C23" s="22"/>
      <c r="D23" s="22"/>
      <c r="E23" s="22"/>
      <c r="F23" s="22"/>
      <c r="G23" s="22"/>
      <c r="H23" s="23">
        <f>(H19+H20+H21)*14.2%</f>
        <v>1312.9925260528498</v>
      </c>
      <c r="I23" s="22"/>
      <c r="J23" s="22">
        <v>781740.1</v>
      </c>
      <c r="K23" s="25"/>
      <c r="L23" s="137"/>
      <c r="M23" s="79" t="s">
        <v>85</v>
      </c>
      <c r="P23" s="79">
        <f>O23/2</f>
        <v>0</v>
      </c>
    </row>
    <row r="24" spans="1:16" ht="12.75">
      <c r="A24" s="22" t="s">
        <v>86</v>
      </c>
      <c r="B24" s="22"/>
      <c r="C24" s="22"/>
      <c r="D24" s="22"/>
      <c r="E24" s="22"/>
      <c r="F24" s="22"/>
      <c r="G24" s="22"/>
      <c r="H24" s="23"/>
      <c r="I24" s="22"/>
      <c r="J24" s="22">
        <v>113966.82</v>
      </c>
      <c r="K24" s="23"/>
      <c r="N24" s="79">
        <v>9</v>
      </c>
      <c r="O24" s="79">
        <v>6</v>
      </c>
      <c r="P24" s="79">
        <f>O24/2</f>
        <v>3</v>
      </c>
    </row>
    <row r="25" spans="1:16" ht="12.75">
      <c r="A25" s="113" t="s">
        <v>899</v>
      </c>
      <c r="B25" s="113"/>
      <c r="C25" s="113"/>
      <c r="D25" s="113"/>
      <c r="E25" s="113"/>
      <c r="F25" s="113"/>
      <c r="G25" s="22"/>
      <c r="H25" s="23">
        <f>0.057*O20</f>
        <v>246.1089</v>
      </c>
      <c r="I25" s="23"/>
      <c r="J25" s="22"/>
      <c r="K25" s="23"/>
      <c r="N25" s="79">
        <v>10</v>
      </c>
      <c r="P25" s="79">
        <f>O25/2</f>
        <v>0</v>
      </c>
    </row>
    <row r="26" spans="1:14" ht="12.75">
      <c r="A26" s="113" t="s">
        <v>900</v>
      </c>
      <c r="B26" s="113"/>
      <c r="C26" s="113"/>
      <c r="D26" s="113"/>
      <c r="E26" s="113"/>
      <c r="F26" s="113"/>
      <c r="G26" s="113"/>
      <c r="H26" s="23">
        <f>0.0085*O20</f>
        <v>36.700450000000004</v>
      </c>
      <c r="I26" s="23"/>
      <c r="J26" s="22"/>
      <c r="K26" s="23"/>
      <c r="N26" s="79">
        <v>16</v>
      </c>
    </row>
    <row r="27" spans="1:11" ht="12.75">
      <c r="A27" s="113" t="s">
        <v>901</v>
      </c>
      <c r="B27" s="113"/>
      <c r="C27" s="113"/>
      <c r="D27" s="113"/>
      <c r="E27" s="113"/>
      <c r="F27" s="113"/>
      <c r="G27" s="113"/>
      <c r="H27" s="23">
        <f>0.0018*O20</f>
        <v>7.771859999999999</v>
      </c>
      <c r="I27" s="23"/>
      <c r="J27" s="22"/>
      <c r="K27" s="23"/>
    </row>
    <row r="28" spans="1:13" ht="12.75">
      <c r="A28" s="113" t="s">
        <v>902</v>
      </c>
      <c r="B28" s="113"/>
      <c r="C28" s="113"/>
      <c r="D28" s="113"/>
      <c r="E28" s="113"/>
      <c r="F28" s="113"/>
      <c r="G28" s="113"/>
      <c r="H28" s="23">
        <f>O20*0.005</f>
        <v>21.5885</v>
      </c>
      <c r="I28" s="22"/>
      <c r="J28" s="22"/>
      <c r="K28" s="23"/>
      <c r="M28" s="79" t="s">
        <v>90</v>
      </c>
    </row>
    <row r="29" spans="1:15" ht="12.75">
      <c r="A29" s="113" t="s">
        <v>903</v>
      </c>
      <c r="B29" s="113"/>
      <c r="C29" s="113"/>
      <c r="D29" s="113"/>
      <c r="E29" s="113"/>
      <c r="F29" s="113"/>
      <c r="G29" s="113"/>
      <c r="H29" s="23">
        <f>O20*0.017</f>
        <v>73.40090000000001</v>
      </c>
      <c r="I29" s="22"/>
      <c r="J29" s="22">
        <v>13606.82</v>
      </c>
      <c r="K29" s="23"/>
      <c r="M29" s="79" t="s">
        <v>92</v>
      </c>
      <c r="O29" s="79">
        <v>57</v>
      </c>
    </row>
    <row r="30" spans="1:15" ht="12.75">
      <c r="A30" s="113" t="s">
        <v>904</v>
      </c>
      <c r="B30" s="113"/>
      <c r="C30" s="113"/>
      <c r="D30" s="113"/>
      <c r="E30" s="113"/>
      <c r="F30" s="113"/>
      <c r="G30" s="113"/>
      <c r="H30" s="23">
        <f>0.054*O20*1.058</f>
        <v>246.67883640000002</v>
      </c>
      <c r="I30" s="22"/>
      <c r="J30" s="22"/>
      <c r="K30" s="23"/>
      <c r="M30" s="79" t="s">
        <v>94</v>
      </c>
      <c r="O30" s="79">
        <v>1282</v>
      </c>
    </row>
    <row r="31" spans="1:11" ht="12.75">
      <c r="A31" s="113"/>
      <c r="B31" s="113"/>
      <c r="C31" s="113"/>
      <c r="D31" s="113"/>
      <c r="E31" s="113"/>
      <c r="F31" s="113"/>
      <c r="G31" s="113"/>
      <c r="H31" s="23"/>
      <c r="I31" s="22"/>
      <c r="J31" s="22"/>
      <c r="K31" s="23"/>
    </row>
    <row r="32" spans="1:15" ht="15.75">
      <c r="A32" s="110" t="s">
        <v>95</v>
      </c>
      <c r="B32" s="110"/>
      <c r="C32" s="110"/>
      <c r="D32" s="110"/>
      <c r="E32" s="110"/>
      <c r="F32" s="20"/>
      <c r="G32" s="20"/>
      <c r="H32" s="27"/>
      <c r="I32" s="20"/>
      <c r="J32" s="20"/>
      <c r="K32" s="21">
        <f>H34+H35+H36+H37+H38+H39+H40+H41+H42+H43+H44+H45+H46</f>
        <v>9936.619223333335</v>
      </c>
      <c r="M32" s="79" t="s">
        <v>96</v>
      </c>
      <c r="O32" s="136">
        <f>K292</f>
        <v>1.3497646055097436</v>
      </c>
    </row>
    <row r="33" spans="1:11" ht="12.75">
      <c r="A33" s="22"/>
      <c r="B33" s="22" t="s">
        <v>64</v>
      </c>
      <c r="C33" s="22"/>
      <c r="D33" s="22"/>
      <c r="E33" s="22"/>
      <c r="F33" s="22"/>
      <c r="G33" s="22"/>
      <c r="H33" s="28"/>
      <c r="I33" s="22"/>
      <c r="J33" s="22"/>
      <c r="K33" s="29"/>
    </row>
    <row r="34" spans="1:11" ht="12.75">
      <c r="A34" s="113" t="s">
        <v>905</v>
      </c>
      <c r="B34" s="113"/>
      <c r="C34" s="113"/>
      <c r="D34" s="113"/>
      <c r="E34" s="113"/>
      <c r="F34" s="113"/>
      <c r="G34" s="113"/>
      <c r="H34" s="28">
        <f>(O21*1.5)/12*90.3*1.058</f>
        <v>3439.3464</v>
      </c>
      <c r="I34" s="22"/>
      <c r="J34" s="22"/>
      <c r="K34" s="29"/>
    </row>
    <row r="35" spans="1:12" ht="12.75">
      <c r="A35" s="113" t="s">
        <v>906</v>
      </c>
      <c r="B35" s="113"/>
      <c r="C35" s="113"/>
      <c r="D35" s="113"/>
      <c r="E35" s="113"/>
      <c r="F35" s="113"/>
      <c r="G35" s="113"/>
      <c r="H35" s="28">
        <f>O21*1.5*33.1/12*1.058</f>
        <v>1260.7128000000002</v>
      </c>
      <c r="I35" s="22"/>
      <c r="J35" s="22"/>
      <c r="K35" s="29"/>
      <c r="L35" s="79">
        <f>1.16*O20</f>
        <v>5008.531999999999</v>
      </c>
    </row>
    <row r="36" spans="1:11" ht="12.75">
      <c r="A36" s="113" t="s">
        <v>907</v>
      </c>
      <c r="B36" s="113"/>
      <c r="C36" s="113"/>
      <c r="D36" s="113"/>
      <c r="E36" s="113"/>
      <c r="F36" s="113"/>
      <c r="G36" s="113"/>
      <c r="H36" s="28">
        <f>O30*2.48</f>
        <v>3179.36</v>
      </c>
      <c r="I36" s="22"/>
      <c r="J36" s="22"/>
      <c r="K36" s="29"/>
    </row>
    <row r="37" spans="1:11" ht="12.75">
      <c r="A37" s="113" t="s">
        <v>908</v>
      </c>
      <c r="B37" s="113"/>
      <c r="C37" s="113"/>
      <c r="D37" s="113"/>
      <c r="E37" s="113"/>
      <c r="F37" s="113"/>
      <c r="G37" s="113"/>
      <c r="H37" s="28">
        <f>O20*0.028</f>
        <v>120.8956</v>
      </c>
      <c r="I37" s="22"/>
      <c r="J37" s="22"/>
      <c r="K37" s="29"/>
    </row>
    <row r="38" spans="1:11" ht="12.75">
      <c r="A38" s="113" t="s">
        <v>909</v>
      </c>
      <c r="B38" s="113"/>
      <c r="C38" s="113"/>
      <c r="D38" s="113"/>
      <c r="E38" s="113"/>
      <c r="F38" s="113"/>
      <c r="G38" s="113"/>
      <c r="H38" s="28">
        <f>O20*0.0027</f>
        <v>11.65779</v>
      </c>
      <c r="I38" s="22"/>
      <c r="J38" s="22"/>
      <c r="K38" s="29"/>
    </row>
    <row r="39" spans="1:11" ht="12.75">
      <c r="A39" s="113" t="s">
        <v>910</v>
      </c>
      <c r="B39" s="113"/>
      <c r="C39" s="113"/>
      <c r="D39" s="113"/>
      <c r="E39" s="24"/>
      <c r="F39" s="24"/>
      <c r="G39" s="24"/>
      <c r="H39" s="28">
        <f>O20*0.216</f>
        <v>932.6232</v>
      </c>
      <c r="I39" s="22"/>
      <c r="J39" s="22"/>
      <c r="K39" s="29"/>
    </row>
    <row r="40" spans="1:11" ht="12.75">
      <c r="A40" s="113" t="s">
        <v>911</v>
      </c>
      <c r="B40" s="113"/>
      <c r="C40" s="113"/>
      <c r="D40" s="113"/>
      <c r="E40" s="113"/>
      <c r="F40" s="113"/>
      <c r="G40" s="113"/>
      <c r="H40" s="28">
        <f>O29*4.81/12</f>
        <v>22.847499999999997</v>
      </c>
      <c r="I40" s="22"/>
      <c r="J40" s="22"/>
      <c r="K40" s="29"/>
    </row>
    <row r="41" spans="1:15" ht="12.75">
      <c r="A41" s="113" t="s">
        <v>853</v>
      </c>
      <c r="B41" s="113"/>
      <c r="C41" s="113"/>
      <c r="D41" s="113"/>
      <c r="E41" s="113"/>
      <c r="F41" s="113"/>
      <c r="G41" s="113"/>
      <c r="H41" s="28">
        <f>O41*80/12/3</f>
        <v>373.3333333333333</v>
      </c>
      <c r="I41" s="22"/>
      <c r="J41" s="22"/>
      <c r="K41" s="29"/>
      <c r="M41" s="79" t="s">
        <v>586</v>
      </c>
      <c r="O41" s="79">
        <v>168</v>
      </c>
    </row>
    <row r="42" spans="1:11" ht="12.75">
      <c r="A42" s="113" t="s">
        <v>912</v>
      </c>
      <c r="B42" s="113"/>
      <c r="C42" s="113"/>
      <c r="D42" s="113"/>
      <c r="E42" s="113"/>
      <c r="F42" s="113"/>
      <c r="G42" s="113"/>
      <c r="H42" s="28">
        <f>O20*0.027</f>
        <v>116.5779</v>
      </c>
      <c r="I42" s="22"/>
      <c r="J42" s="32"/>
      <c r="K42" s="29"/>
    </row>
    <row r="43" spans="1:11" ht="12.75">
      <c r="A43" s="113" t="s">
        <v>913</v>
      </c>
      <c r="B43" s="113"/>
      <c r="C43" s="113"/>
      <c r="D43" s="113"/>
      <c r="E43" s="113"/>
      <c r="F43" s="113"/>
      <c r="G43" s="113"/>
      <c r="H43" s="28">
        <f>O20*0.022</f>
        <v>94.98939999999999</v>
      </c>
      <c r="I43" s="22"/>
      <c r="J43" s="22"/>
      <c r="K43" s="29"/>
    </row>
    <row r="44" spans="1:11" ht="12.75">
      <c r="A44" s="113" t="s">
        <v>914</v>
      </c>
      <c r="B44" s="113"/>
      <c r="C44" s="113"/>
      <c r="D44" s="113"/>
      <c r="E44" s="113"/>
      <c r="F44" s="113"/>
      <c r="G44" s="113"/>
      <c r="H44" s="28">
        <f>O20*0.022</f>
        <v>94.98939999999999</v>
      </c>
      <c r="I44" s="22"/>
      <c r="J44" s="22"/>
      <c r="K44" s="29"/>
    </row>
    <row r="45" spans="1:11" ht="12.75">
      <c r="A45" s="113" t="s">
        <v>915</v>
      </c>
      <c r="B45" s="113"/>
      <c r="C45" s="113"/>
      <c r="D45" s="113"/>
      <c r="E45" s="113"/>
      <c r="F45" s="113"/>
      <c r="G45" s="24"/>
      <c r="H45" s="28">
        <f>O20*0.053</f>
        <v>228.8381</v>
      </c>
      <c r="I45" s="22"/>
      <c r="J45" s="22"/>
      <c r="K45" s="29"/>
    </row>
    <row r="46" spans="1:11" ht="12.75">
      <c r="A46" s="113" t="s">
        <v>916</v>
      </c>
      <c r="B46" s="113"/>
      <c r="C46" s="113"/>
      <c r="D46" s="113"/>
      <c r="E46" s="113"/>
      <c r="F46" s="113"/>
      <c r="G46" s="24"/>
      <c r="H46" s="28">
        <f>O20*0.014</f>
        <v>60.4478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5.75">
      <c r="A48" s="86" t="s">
        <v>148</v>
      </c>
      <c r="B48" s="86"/>
      <c r="C48" s="86"/>
      <c r="D48" s="86"/>
      <c r="E48" s="86"/>
      <c r="F48" s="86"/>
      <c r="G48" s="86"/>
      <c r="H48" s="87"/>
      <c r="I48" s="88"/>
      <c r="J48" s="88">
        <v>9460.05</v>
      </c>
      <c r="K48" s="89">
        <f>H50+H51+H52+H53+H54</f>
        <v>9195.376254901961</v>
      </c>
    </row>
    <row r="49" spans="1:11" ht="12.75">
      <c r="A49" s="24"/>
      <c r="B49" s="24" t="s">
        <v>64</v>
      </c>
      <c r="C49" s="24"/>
      <c r="D49" s="24"/>
      <c r="E49" s="24"/>
      <c r="F49" s="24"/>
      <c r="G49" s="24"/>
      <c r="H49" s="28"/>
      <c r="I49" s="22"/>
      <c r="J49" s="22"/>
      <c r="K49" s="29"/>
    </row>
    <row r="50" spans="1:13" ht="12.75">
      <c r="A50" s="113" t="s">
        <v>917</v>
      </c>
      <c r="B50" s="113"/>
      <c r="C50" s="113"/>
      <c r="D50" s="113"/>
      <c r="E50" s="113"/>
      <c r="F50" s="113"/>
      <c r="G50" s="24"/>
      <c r="H50" s="28">
        <f>O20*2.07</f>
        <v>8937.639</v>
      </c>
      <c r="I50" s="22"/>
      <c r="J50" s="22"/>
      <c r="K50" s="29"/>
      <c r="M50" s="79">
        <v>18024</v>
      </c>
    </row>
    <row r="51" spans="1:11" ht="12.75">
      <c r="A51" s="113" t="s">
        <v>748</v>
      </c>
      <c r="B51" s="113"/>
      <c r="C51" s="113"/>
      <c r="D51" s="113"/>
      <c r="E51" s="113"/>
      <c r="F51" s="113"/>
      <c r="G51" s="24"/>
      <c r="H51" s="28">
        <f>1380*1/12</f>
        <v>115</v>
      </c>
      <c r="I51" s="22"/>
      <c r="J51" s="22"/>
      <c r="K51" s="29"/>
    </row>
    <row r="52" spans="1:11" ht="12.75">
      <c r="A52" s="113" t="s">
        <v>749</v>
      </c>
      <c r="B52" s="113"/>
      <c r="C52" s="113"/>
      <c r="D52" s="113"/>
      <c r="E52" s="113"/>
      <c r="F52" s="113"/>
      <c r="G52" s="113"/>
      <c r="H52" s="28">
        <f>1567*1/12</f>
        <v>130.58333333333334</v>
      </c>
      <c r="I52" s="22"/>
      <c r="J52" s="22"/>
      <c r="K52" s="29"/>
    </row>
    <row r="53" spans="1:11" ht="12.75">
      <c r="A53" s="113" t="s">
        <v>860</v>
      </c>
      <c r="B53" s="113"/>
      <c r="C53" s="113"/>
      <c r="D53" s="113"/>
      <c r="E53" s="113"/>
      <c r="F53" s="113"/>
      <c r="G53" s="113"/>
      <c r="H53" s="28">
        <f>56.4*1/2/12</f>
        <v>2.35</v>
      </c>
      <c r="I53" s="22"/>
      <c r="J53" s="22"/>
      <c r="K53" s="29"/>
    </row>
    <row r="54" spans="1:11" ht="12.75">
      <c r="A54" s="24" t="s">
        <v>340</v>
      </c>
      <c r="B54" s="24"/>
      <c r="C54" s="24"/>
      <c r="D54" s="24"/>
      <c r="E54" s="24"/>
      <c r="F54" s="24"/>
      <c r="G54" s="24"/>
      <c r="H54" s="28">
        <f>10000/85*1/12</f>
        <v>9.80392156862745</v>
      </c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3" ht="15.75">
      <c r="A56" s="20" t="s">
        <v>111</v>
      </c>
      <c r="B56" s="20"/>
      <c r="C56" s="20"/>
      <c r="D56" s="20"/>
      <c r="E56" s="20"/>
      <c r="F56" s="20"/>
      <c r="G56" s="20"/>
      <c r="H56" s="27"/>
      <c r="I56" s="20"/>
      <c r="J56" s="20"/>
      <c r="K56" s="21">
        <f>H59+H61+H62+H63+H64+H65+H66+H67+H69+H70</f>
        <v>16039.862050889857</v>
      </c>
      <c r="M56" s="138">
        <f>K56/309084*O20</f>
        <v>224.0663132906496</v>
      </c>
    </row>
    <row r="57" spans="1:11" ht="12.75">
      <c r="A57" s="22"/>
      <c r="B57" s="22" t="s">
        <v>64</v>
      </c>
      <c r="C57" s="22"/>
      <c r="D57" s="22"/>
      <c r="E57" s="22"/>
      <c r="F57" s="22"/>
      <c r="G57" s="22"/>
      <c r="H57" s="28"/>
      <c r="I57" s="22"/>
      <c r="J57" s="22"/>
      <c r="K57" s="29"/>
    </row>
    <row r="58" spans="1:11" ht="12.75">
      <c r="A58" s="33" t="s">
        <v>112</v>
      </c>
      <c r="B58" s="33"/>
      <c r="C58" s="33"/>
      <c r="D58" s="33"/>
      <c r="E58" s="33"/>
      <c r="F58" s="33"/>
      <c r="G58" s="33"/>
      <c r="H58" s="34"/>
      <c r="I58" s="33"/>
      <c r="J58" s="33"/>
      <c r="K58" s="35"/>
    </row>
    <row r="59" spans="1:13" ht="12.75">
      <c r="A59" s="111" t="s">
        <v>861</v>
      </c>
      <c r="B59" s="111"/>
      <c r="C59" s="111"/>
      <c r="D59" s="111"/>
      <c r="E59" s="111"/>
      <c r="F59" s="111"/>
      <c r="G59" s="36"/>
      <c r="H59" s="37">
        <f>K292*24.48*165.1*1.5*1.07</f>
        <v>8755.713836418437</v>
      </c>
      <c r="I59" s="38"/>
      <c r="J59" s="38"/>
      <c r="K59" s="35"/>
      <c r="M59" s="136">
        <f>K292</f>
        <v>1.3497646055097436</v>
      </c>
    </row>
    <row r="60" spans="1:11" ht="12.75">
      <c r="A60" s="33" t="s">
        <v>114</v>
      </c>
      <c r="B60" s="33"/>
      <c r="C60" s="33"/>
      <c r="D60" s="33"/>
      <c r="E60" s="33"/>
      <c r="F60" s="33"/>
      <c r="G60" s="33"/>
      <c r="H60" s="34"/>
      <c r="I60" s="33"/>
      <c r="J60" s="33"/>
      <c r="K60" s="35"/>
    </row>
    <row r="61" spans="1:11" ht="12.75">
      <c r="A61" s="39">
        <f>H59</f>
        <v>8755.713836418437</v>
      </c>
      <c r="B61" s="36" t="s">
        <v>115</v>
      </c>
      <c r="C61" s="36"/>
      <c r="D61" s="36"/>
      <c r="E61" s="36"/>
      <c r="F61" s="36"/>
      <c r="G61" s="38"/>
      <c r="H61" s="37">
        <f>H59*14.2%</f>
        <v>1243.311364771418</v>
      </c>
      <c r="I61" s="38"/>
      <c r="J61" s="38"/>
      <c r="K61" s="35"/>
    </row>
    <row r="62" spans="1:11" ht="12.75">
      <c r="A62" s="30" t="s">
        <v>86</v>
      </c>
      <c r="B62" s="30"/>
      <c r="C62" s="30"/>
      <c r="D62" s="30"/>
      <c r="E62" s="30"/>
      <c r="F62" s="40"/>
      <c r="G62" s="40"/>
      <c r="H62" s="37">
        <f>0.04*O20</f>
        <v>172.708</v>
      </c>
      <c r="I62" s="38"/>
      <c r="J62" s="38"/>
      <c r="K62" s="35"/>
    </row>
    <row r="63" spans="1:11" ht="12.75">
      <c r="A63" s="108" t="s">
        <v>116</v>
      </c>
      <c r="B63" s="108"/>
      <c r="C63" s="108"/>
      <c r="D63" s="108"/>
      <c r="E63" s="108"/>
      <c r="F63" s="108"/>
      <c r="G63" s="108"/>
      <c r="H63" s="37">
        <f>0.97*O20</f>
        <v>4188.169</v>
      </c>
      <c r="I63" s="38"/>
      <c r="J63" s="38"/>
      <c r="K63" s="35"/>
    </row>
    <row r="64" spans="1:11" ht="12.75">
      <c r="A64" s="108" t="s">
        <v>918</v>
      </c>
      <c r="B64" s="108"/>
      <c r="C64" s="108"/>
      <c r="D64" s="108"/>
      <c r="E64" s="108"/>
      <c r="F64" s="30"/>
      <c r="G64" s="30"/>
      <c r="H64" s="37">
        <f>0.0037*O20</f>
        <v>15.97549</v>
      </c>
      <c r="I64" s="38"/>
      <c r="J64" s="38"/>
      <c r="K64" s="35"/>
    </row>
    <row r="65" spans="1:12" ht="12.75">
      <c r="A65" s="108" t="s">
        <v>919</v>
      </c>
      <c r="B65" s="108"/>
      <c r="C65" s="108"/>
      <c r="D65" s="108"/>
      <c r="E65" s="108"/>
      <c r="F65" s="108"/>
      <c r="G65" s="108"/>
      <c r="H65" s="37">
        <f>O20*0.082</f>
        <v>354.0514</v>
      </c>
      <c r="I65" s="38"/>
      <c r="J65" s="38"/>
      <c r="K65" s="35"/>
      <c r="L65" s="136"/>
    </row>
    <row r="66" spans="1:13" ht="12.75">
      <c r="A66" s="108" t="s">
        <v>920</v>
      </c>
      <c r="B66" s="108"/>
      <c r="C66" s="108"/>
      <c r="D66" s="108"/>
      <c r="E66" s="108"/>
      <c r="F66" s="108"/>
      <c r="G66" s="108"/>
      <c r="H66" s="31">
        <f>O20*0.023*1.107</f>
        <v>109.93295969999998</v>
      </c>
      <c r="I66" s="33"/>
      <c r="J66" s="33"/>
      <c r="K66" s="35"/>
      <c r="M66" s="79">
        <f>36646.37/309083*O20</f>
        <v>511.9273196811213</v>
      </c>
    </row>
    <row r="67" spans="1:11" ht="12.75">
      <c r="A67" s="41" t="s">
        <v>120</v>
      </c>
      <c r="B67" s="41"/>
      <c r="C67" s="41"/>
      <c r="D67" s="41"/>
      <c r="E67" s="40"/>
      <c r="F67" s="40"/>
      <c r="G67" s="40"/>
      <c r="H67" s="31">
        <v>600</v>
      </c>
      <c r="I67" s="38"/>
      <c r="J67" s="38"/>
      <c r="K67" s="35"/>
    </row>
    <row r="68" spans="1:11" ht="12.75" customHeight="1" hidden="1">
      <c r="A68" s="38"/>
      <c r="B68" s="38"/>
      <c r="C68" s="38"/>
      <c r="D68" s="40"/>
      <c r="E68" s="40"/>
      <c r="F68" s="40"/>
      <c r="G68" s="40"/>
      <c r="H68" s="121"/>
      <c r="I68" s="40"/>
      <c r="J68" s="40"/>
      <c r="K68" s="122"/>
    </row>
    <row r="69" spans="1:11" ht="12.75">
      <c r="A69" s="38" t="s">
        <v>568</v>
      </c>
      <c r="B69" s="38"/>
      <c r="C69" s="38"/>
      <c r="D69" s="40"/>
      <c r="E69" s="40"/>
      <c r="F69" s="40"/>
      <c r="G69" s="38"/>
      <c r="H69" s="37">
        <v>300</v>
      </c>
      <c r="I69" s="40"/>
      <c r="J69" s="40"/>
      <c r="K69" s="122"/>
    </row>
    <row r="70" spans="1:11" ht="12.75">
      <c r="A70" s="38" t="s">
        <v>377</v>
      </c>
      <c r="B70" s="38"/>
      <c r="C70" s="38"/>
      <c r="D70" s="40"/>
      <c r="E70" s="40"/>
      <c r="F70" s="40"/>
      <c r="G70" s="38"/>
      <c r="H70" s="37">
        <v>300</v>
      </c>
      <c r="I70" s="40"/>
      <c r="J70" s="40"/>
      <c r="K70" s="122"/>
    </row>
    <row r="71" spans="1:11" ht="12.75">
      <c r="A71" s="38"/>
      <c r="B71" s="38"/>
      <c r="C71" s="38"/>
      <c r="D71" s="40"/>
      <c r="E71" s="40"/>
      <c r="F71" s="40"/>
      <c r="G71" s="38"/>
      <c r="H71" s="37"/>
      <c r="I71" s="40"/>
      <c r="J71" s="40"/>
      <c r="K71" s="122"/>
    </row>
    <row r="72" spans="1:13" ht="15.75">
      <c r="A72" s="110" t="s">
        <v>121</v>
      </c>
      <c r="B72" s="110"/>
      <c r="C72" s="110"/>
      <c r="D72" s="110"/>
      <c r="E72" s="42"/>
      <c r="F72" s="42"/>
      <c r="G72" s="20"/>
      <c r="H72" s="27"/>
      <c r="I72" s="20"/>
      <c r="J72" s="20"/>
      <c r="K72" s="21">
        <f>H74+H75+H76+H77</f>
        <v>3509.85833</v>
      </c>
      <c r="M72" s="139">
        <f>51932.37/301083*O20</f>
        <v>744.7394703420651</v>
      </c>
    </row>
    <row r="73" spans="1:11" ht="12.75">
      <c r="A73" s="111" t="s">
        <v>122</v>
      </c>
      <c r="B73" s="111"/>
      <c r="C73" s="111"/>
      <c r="D73" s="111"/>
      <c r="E73" s="111"/>
      <c r="F73" s="111"/>
      <c r="G73" s="36"/>
      <c r="H73" s="37"/>
      <c r="I73" s="36"/>
      <c r="J73" s="36"/>
      <c r="K73" s="35"/>
    </row>
    <row r="74" spans="1:11" ht="12.75">
      <c r="A74" s="36" t="s">
        <v>921</v>
      </c>
      <c r="B74" s="36"/>
      <c r="C74" s="36"/>
      <c r="D74" s="36"/>
      <c r="E74" s="36"/>
      <c r="F74" s="36"/>
      <c r="G74" s="36"/>
      <c r="H74" s="37">
        <f>0.2227*O20</f>
        <v>961.55179</v>
      </c>
      <c r="I74" s="36"/>
      <c r="J74" s="36"/>
      <c r="K74" s="35"/>
    </row>
    <row r="75" spans="1:11" ht="12.75">
      <c r="A75" s="30" t="s">
        <v>922</v>
      </c>
      <c r="B75" s="43"/>
      <c r="C75" s="30"/>
      <c r="D75" s="30"/>
      <c r="E75" s="44"/>
      <c r="F75" s="38"/>
      <c r="G75" s="38"/>
      <c r="H75" s="37">
        <f>0.0257*O20</f>
        <v>110.96489</v>
      </c>
      <c r="I75" s="38"/>
      <c r="J75" s="38"/>
      <c r="K75" s="35"/>
    </row>
    <row r="76" spans="1:11" ht="12.75">
      <c r="A76" s="111" t="s">
        <v>923</v>
      </c>
      <c r="B76" s="111"/>
      <c r="C76" s="111"/>
      <c r="D76" s="111"/>
      <c r="E76" s="111"/>
      <c r="F76" s="38"/>
      <c r="G76" s="38"/>
      <c r="H76" s="37">
        <f>0.0945*O20</f>
        <v>408.02265</v>
      </c>
      <c r="I76" s="38"/>
      <c r="J76" s="38"/>
      <c r="K76" s="35"/>
    </row>
    <row r="77" spans="1:11" ht="12.75">
      <c r="A77" s="36" t="s">
        <v>924</v>
      </c>
      <c r="B77" s="36"/>
      <c r="C77" s="36"/>
      <c r="D77" s="36"/>
      <c r="E77" s="36"/>
      <c r="F77" s="38"/>
      <c r="G77" s="38"/>
      <c r="H77" s="37">
        <f>0.47*O20</f>
        <v>2029.3189999999997</v>
      </c>
      <c r="I77" s="38"/>
      <c r="J77" s="38"/>
      <c r="K77" s="45"/>
    </row>
    <row r="78" spans="1:11" ht="12.75">
      <c r="A78" s="30"/>
      <c r="B78" s="30"/>
      <c r="C78" s="30"/>
      <c r="D78" s="30"/>
      <c r="E78" s="30"/>
      <c r="F78" s="30"/>
      <c r="G78" s="30"/>
      <c r="H78" s="37"/>
      <c r="I78" s="38"/>
      <c r="J78" s="38"/>
      <c r="K78" s="35"/>
    </row>
    <row r="79" spans="1:13" ht="15.75">
      <c r="A79" s="26" t="s">
        <v>127</v>
      </c>
      <c r="B79" s="26"/>
      <c r="C79" s="26"/>
      <c r="D79" s="26"/>
      <c r="E79" s="26"/>
      <c r="F79" s="26"/>
      <c r="G79" s="26"/>
      <c r="H79" s="46"/>
      <c r="I79" s="20"/>
      <c r="J79" s="20"/>
      <c r="K79" s="21">
        <f>O20*0.94</f>
        <v>4058.6379999999995</v>
      </c>
      <c r="M79" s="138">
        <f>231179.9/309083*O20</f>
        <v>3229.4414582167246</v>
      </c>
    </row>
    <row r="80" spans="1:11" ht="15.75">
      <c r="A80" s="47"/>
      <c r="B80" s="47"/>
      <c r="C80" s="112" t="s">
        <v>64</v>
      </c>
      <c r="D80" s="112"/>
      <c r="E80" s="47"/>
      <c r="F80" s="47"/>
      <c r="G80" s="47"/>
      <c r="H80" s="48"/>
      <c r="I80" s="47"/>
      <c r="J80" s="47"/>
      <c r="K80" s="49"/>
    </row>
    <row r="81" spans="1:11" ht="12.75">
      <c r="A81" s="30" t="s">
        <v>128</v>
      </c>
      <c r="B81" s="30"/>
      <c r="C81" s="30"/>
      <c r="D81" s="30"/>
      <c r="E81" s="30"/>
      <c r="F81" s="30"/>
      <c r="G81" s="30"/>
      <c r="H81" s="37"/>
      <c r="I81" s="38"/>
      <c r="J81" s="38"/>
      <c r="K81" s="35"/>
    </row>
    <row r="82" spans="1:11" ht="12.75">
      <c r="A82" s="30" t="s">
        <v>129</v>
      </c>
      <c r="B82" s="43"/>
      <c r="C82" s="30"/>
      <c r="D82" s="30"/>
      <c r="E82" s="30"/>
      <c r="F82" s="44"/>
      <c r="G82" s="44"/>
      <c r="H82" s="37"/>
      <c r="I82" s="38"/>
      <c r="J82" s="38"/>
      <c r="K82" s="35"/>
    </row>
    <row r="83" spans="1:11" ht="12.75">
      <c r="A83" s="108" t="s">
        <v>130</v>
      </c>
      <c r="B83" s="108"/>
      <c r="C83" s="108"/>
      <c r="D83" s="108"/>
      <c r="E83" s="108"/>
      <c r="F83" s="108"/>
      <c r="G83" s="44"/>
      <c r="H83" s="37"/>
      <c r="I83" s="38"/>
      <c r="J83" s="38"/>
      <c r="K83" s="35"/>
    </row>
    <row r="84" spans="1:11" ht="12.75">
      <c r="A84" s="108" t="s">
        <v>131</v>
      </c>
      <c r="B84" s="108"/>
      <c r="C84" s="108"/>
      <c r="D84" s="108"/>
      <c r="E84" s="108"/>
      <c r="F84" s="108"/>
      <c r="G84" s="108"/>
      <c r="H84" s="37"/>
      <c r="I84" s="38"/>
      <c r="J84" s="38"/>
      <c r="K84" s="35"/>
    </row>
    <row r="85" spans="1:11" ht="12.75">
      <c r="A85" s="108" t="s">
        <v>132</v>
      </c>
      <c r="B85" s="108"/>
      <c r="C85" s="108"/>
      <c r="D85" s="108"/>
      <c r="E85" s="109"/>
      <c r="F85" s="109"/>
      <c r="G85" s="109"/>
      <c r="H85" s="37"/>
      <c r="I85" s="38"/>
      <c r="J85" s="38"/>
      <c r="K85" s="35"/>
    </row>
    <row r="86" spans="1:11" ht="12.75">
      <c r="A86" s="108" t="s">
        <v>133</v>
      </c>
      <c r="B86" s="108"/>
      <c r="C86" s="108"/>
      <c r="D86" s="108"/>
      <c r="E86" s="108"/>
      <c r="F86" s="44"/>
      <c r="G86" s="44"/>
      <c r="H86" s="37"/>
      <c r="I86" s="38"/>
      <c r="J86" s="38"/>
      <c r="K86" s="35"/>
    </row>
    <row r="87" spans="1:14" ht="12.75">
      <c r="A87" s="44" t="s">
        <v>134</v>
      </c>
      <c r="B87" s="44"/>
      <c r="C87" s="44"/>
      <c r="D87" s="44"/>
      <c r="E87" s="44"/>
      <c r="F87" s="44"/>
      <c r="G87" s="44"/>
      <c r="H87" s="37"/>
      <c r="I87" s="38"/>
      <c r="J87" s="38"/>
      <c r="K87" s="35"/>
      <c r="N87" s="136">
        <f>K17+K32+K48+K56+K72+K79</f>
        <v>53924.2502113868</v>
      </c>
    </row>
    <row r="88" spans="1:14" ht="12.75">
      <c r="A88" s="22"/>
      <c r="B88" s="22"/>
      <c r="C88" s="22"/>
      <c r="D88" s="22"/>
      <c r="E88" s="22"/>
      <c r="F88" s="22"/>
      <c r="G88" s="22"/>
      <c r="H88" s="28"/>
      <c r="I88" s="22"/>
      <c r="J88" s="22"/>
      <c r="K88" s="29"/>
      <c r="N88" s="79" t="e">
        <f>#REF!*97%</f>
        <v>#REF!</v>
      </c>
    </row>
    <row r="89" spans="1:14" ht="15.75">
      <c r="A89" s="20" t="s">
        <v>135</v>
      </c>
      <c r="B89" s="20"/>
      <c r="C89" s="20"/>
      <c r="D89" s="20"/>
      <c r="E89" s="20"/>
      <c r="F89" s="51"/>
      <c r="G89" s="51"/>
      <c r="H89" s="52"/>
      <c r="I89" s="51"/>
      <c r="J89" s="51"/>
      <c r="K89" s="21">
        <f>0.0205*O20</f>
        <v>88.51285</v>
      </c>
      <c r="L89" s="139">
        <f>K89/309084*O20</f>
        <v>1.236466243626328</v>
      </c>
      <c r="M89" s="139">
        <f>L89/309084*P20</f>
        <v>0</v>
      </c>
      <c r="N89" s="79" t="e">
        <f>(N88-N87)*0.15</f>
        <v>#REF!</v>
      </c>
    </row>
    <row r="90" spans="1:13" ht="15.75">
      <c r="A90" s="54"/>
      <c r="B90" s="54"/>
      <c r="C90" s="54"/>
      <c r="D90" s="54"/>
      <c r="E90" s="54"/>
      <c r="F90" s="53"/>
      <c r="G90" s="53"/>
      <c r="H90" s="55"/>
      <c r="I90" s="53"/>
      <c r="J90" s="53"/>
      <c r="K90" s="56"/>
      <c r="L90" s="139"/>
      <c r="M90" s="139"/>
    </row>
    <row r="91" spans="1:11" ht="15.75">
      <c r="A91" s="57" t="s">
        <v>673</v>
      </c>
      <c r="B91" s="57"/>
      <c r="C91" s="57"/>
      <c r="D91" s="58"/>
      <c r="E91" s="58"/>
      <c r="F91" s="58"/>
      <c r="G91" s="58"/>
      <c r="H91" s="59"/>
      <c r="I91" s="58"/>
      <c r="J91" s="58"/>
      <c r="K91" s="64">
        <f>K15*0.06</f>
        <v>3240.765783683208</v>
      </c>
    </row>
    <row r="92" spans="1:11" ht="15.75">
      <c r="A92" s="57"/>
      <c r="B92" s="57"/>
      <c r="C92" s="57"/>
      <c r="D92" s="58"/>
      <c r="E92" s="58"/>
      <c r="F92" s="58"/>
      <c r="G92" s="58"/>
      <c r="H92" s="59"/>
      <c r="I92" s="58"/>
      <c r="J92" s="58"/>
      <c r="K92" s="64"/>
    </row>
    <row r="93" spans="1:11" ht="15.75">
      <c r="A93" s="63" t="s">
        <v>137</v>
      </c>
      <c r="B93" s="63"/>
      <c r="C93" s="63"/>
      <c r="D93" s="63"/>
      <c r="E93" s="63"/>
      <c r="F93" s="63"/>
      <c r="G93" s="63"/>
      <c r="H93" s="63"/>
      <c r="I93" s="63"/>
      <c r="J93" s="63"/>
      <c r="K93" s="64">
        <f>K91+K15</f>
        <v>57253.52884507001</v>
      </c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 t="s">
        <v>138</v>
      </c>
      <c r="B95" s="63"/>
      <c r="C95" s="63"/>
      <c r="D95" s="63"/>
      <c r="E95" s="63"/>
      <c r="F95" s="63"/>
      <c r="G95" s="63"/>
      <c r="H95" s="63"/>
      <c r="I95" s="63"/>
      <c r="J95" s="63"/>
      <c r="K95" s="64">
        <f>K93/O20</f>
        <v>13.260191501278461</v>
      </c>
    </row>
    <row r="96" spans="1:11" ht="15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t="15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4"/>
    </row>
    <row r="98" spans="1:11" ht="15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4"/>
    </row>
    <row r="99" ht="15.75" customHeight="1"/>
    <row r="100" ht="15.75" customHeight="1"/>
    <row r="104" spans="3:16" s="65" customFormat="1" ht="15.75">
      <c r="C104" s="106" t="s">
        <v>139</v>
      </c>
      <c r="D104" s="107"/>
      <c r="E104" s="107"/>
      <c r="F104" s="107"/>
      <c r="G104" s="107"/>
      <c r="H104" s="107"/>
      <c r="I104" s="107"/>
      <c r="L104" s="79"/>
      <c r="M104" s="79"/>
      <c r="N104" s="79"/>
      <c r="O104" s="79"/>
      <c r="P104" s="79"/>
    </row>
    <row r="105" spans="3:16" s="65" customFormat="1" ht="15.75">
      <c r="C105" s="74" t="s">
        <v>140</v>
      </c>
      <c r="D105" s="74" t="s">
        <v>141</v>
      </c>
      <c r="E105" s="74"/>
      <c r="F105" s="74"/>
      <c r="G105" s="75"/>
      <c r="H105" s="75"/>
      <c r="I105" s="75"/>
      <c r="L105" s="79"/>
      <c r="M105" s="79"/>
      <c r="N105" s="79"/>
      <c r="O105" s="79"/>
      <c r="P105" s="79"/>
    </row>
    <row r="106" spans="12:16" s="65" customFormat="1" ht="12.75">
      <c r="L106" s="79"/>
      <c r="M106" s="79"/>
      <c r="N106" s="79"/>
      <c r="O106" s="79"/>
      <c r="P106" s="79"/>
    </row>
    <row r="107" spans="5:16" s="65" customFormat="1" ht="12.75">
      <c r="E107" s="65" t="s">
        <v>142</v>
      </c>
      <c r="L107" s="79"/>
      <c r="M107" s="79"/>
      <c r="N107" s="79"/>
      <c r="O107" s="79"/>
      <c r="P107" s="79"/>
    </row>
    <row r="108" spans="5:16" s="65" customFormat="1" ht="12.75">
      <c r="E108" s="65" t="s">
        <v>143</v>
      </c>
      <c r="H108" s="65">
        <v>1200</v>
      </c>
      <c r="L108" s="79"/>
      <c r="M108" s="79"/>
      <c r="N108" s="79"/>
      <c r="O108" s="79"/>
      <c r="P108" s="79"/>
    </row>
    <row r="109" spans="5:16" s="65" customFormat="1" ht="12.75">
      <c r="E109" s="65" t="s">
        <v>144</v>
      </c>
      <c r="H109" s="65">
        <v>1324</v>
      </c>
      <c r="L109" s="79"/>
      <c r="M109" s="79"/>
      <c r="N109" s="79"/>
      <c r="O109" s="79"/>
      <c r="P109" s="79"/>
    </row>
    <row r="110" spans="5:16" s="65" customFormat="1" ht="12.75">
      <c r="E110" s="65" t="s">
        <v>145</v>
      </c>
      <c r="H110" s="65">
        <v>332</v>
      </c>
      <c r="L110" s="79"/>
      <c r="M110" s="79"/>
      <c r="N110" s="79"/>
      <c r="O110" s="79"/>
      <c r="P110" s="79"/>
    </row>
    <row r="111" spans="5:16" s="65" customFormat="1" ht="12.75">
      <c r="E111" s="65" t="s">
        <v>146</v>
      </c>
      <c r="H111" s="65">
        <v>5351.8</v>
      </c>
      <c r="L111" s="79"/>
      <c r="M111" s="79"/>
      <c r="N111" s="79"/>
      <c r="O111" s="79"/>
      <c r="P111" s="79"/>
    </row>
    <row r="112" spans="12:16" s="65" customFormat="1" ht="12.75">
      <c r="L112" s="79"/>
      <c r="M112" s="79"/>
      <c r="N112" s="79"/>
      <c r="O112" s="79"/>
      <c r="P112" s="79"/>
    </row>
    <row r="113" spans="1:16" s="65" customFormat="1" ht="15.75">
      <c r="A113" s="105" t="s">
        <v>72</v>
      </c>
      <c r="B113" s="105"/>
      <c r="C113" s="105"/>
      <c r="D113" s="105"/>
      <c r="E113" s="105"/>
      <c r="F113" s="105"/>
      <c r="G113" s="105"/>
      <c r="H113" s="76"/>
      <c r="I113" s="77" t="s">
        <v>70</v>
      </c>
      <c r="K113" s="78"/>
      <c r="L113" s="79"/>
      <c r="M113" s="79"/>
      <c r="N113" s="79"/>
      <c r="O113" s="79"/>
      <c r="P113" s="79"/>
    </row>
    <row r="114" spans="1:16" s="65" customFormat="1" ht="12.75">
      <c r="A114" s="79"/>
      <c r="B114" s="79"/>
      <c r="C114" s="79"/>
      <c r="D114" s="79"/>
      <c r="E114" s="79"/>
      <c r="F114" s="79"/>
      <c r="G114" s="79"/>
      <c r="L114" s="79"/>
      <c r="M114" s="79"/>
      <c r="N114" s="79"/>
      <c r="O114" s="79"/>
      <c r="P114" s="79"/>
    </row>
    <row r="115" spans="1:16" s="65" customFormat="1" ht="15.75">
      <c r="A115" s="80" t="s">
        <v>147</v>
      </c>
      <c r="B115" s="80"/>
      <c r="C115" s="80"/>
      <c r="D115" s="80"/>
      <c r="E115" s="80"/>
      <c r="F115" s="80"/>
      <c r="G115" s="80"/>
      <c r="H115" s="78"/>
      <c r="L115" s="79"/>
      <c r="M115" s="79"/>
      <c r="N115" s="79"/>
      <c r="O115" s="79"/>
      <c r="P115" s="79"/>
    </row>
    <row r="116" spans="1:16" s="65" customFormat="1" ht="12.75">
      <c r="A116" s="79"/>
      <c r="B116" s="79"/>
      <c r="C116" s="79"/>
      <c r="D116" s="79"/>
      <c r="E116" s="79"/>
      <c r="F116" s="79"/>
      <c r="G116" s="79"/>
      <c r="H116" s="78"/>
      <c r="L116" s="79"/>
      <c r="M116" s="79"/>
      <c r="N116" s="79"/>
      <c r="O116" s="79"/>
      <c r="P116" s="79"/>
    </row>
    <row r="117" spans="1:16" s="65" customFormat="1" ht="15.75">
      <c r="A117" s="105" t="s">
        <v>95</v>
      </c>
      <c r="B117" s="105"/>
      <c r="C117" s="105"/>
      <c r="D117" s="105"/>
      <c r="E117" s="105"/>
      <c r="F117" s="80"/>
      <c r="G117" s="80"/>
      <c r="H117" s="78">
        <f>K32</f>
        <v>9936.619223333335</v>
      </c>
      <c r="L117" s="79"/>
      <c r="M117" s="79"/>
      <c r="N117" s="79"/>
      <c r="O117" s="79"/>
      <c r="P117" s="79"/>
    </row>
    <row r="118" spans="1:16" s="65" customFormat="1" ht="12.75">
      <c r="A118" s="79"/>
      <c r="B118" s="79"/>
      <c r="C118" s="79"/>
      <c r="D118" s="79"/>
      <c r="E118" s="79"/>
      <c r="F118" s="79"/>
      <c r="G118" s="79"/>
      <c r="H118" s="78"/>
      <c r="L118" s="79"/>
      <c r="M118" s="79"/>
      <c r="N118" s="79"/>
      <c r="O118" s="79"/>
      <c r="P118" s="79"/>
    </row>
    <row r="119" spans="1:16" s="65" customFormat="1" ht="15.75">
      <c r="A119" s="105" t="s">
        <v>148</v>
      </c>
      <c r="B119" s="105"/>
      <c r="C119" s="105"/>
      <c r="D119" s="105"/>
      <c r="E119" s="105"/>
      <c r="F119" s="105"/>
      <c r="G119" s="105"/>
      <c r="H119" s="81"/>
      <c r="L119" s="79"/>
      <c r="M119" s="79"/>
      <c r="N119" s="79"/>
      <c r="O119" s="79"/>
      <c r="P119" s="79"/>
    </row>
    <row r="120" spans="1:16" s="65" customFormat="1" ht="12.75">
      <c r="A120" s="79"/>
      <c r="B120" s="79"/>
      <c r="C120" s="79"/>
      <c r="D120" s="79"/>
      <c r="E120" s="79"/>
      <c r="F120" s="79"/>
      <c r="G120" s="79"/>
      <c r="H120" s="82"/>
      <c r="L120" s="79"/>
      <c r="M120" s="79"/>
      <c r="N120" s="79"/>
      <c r="O120" s="79"/>
      <c r="P120" s="79"/>
    </row>
    <row r="121" spans="1:16" s="65" customFormat="1" ht="15.75">
      <c r="A121" s="80" t="s">
        <v>111</v>
      </c>
      <c r="B121" s="80"/>
      <c r="C121" s="80"/>
      <c r="D121" s="80"/>
      <c r="E121" s="80"/>
      <c r="F121" s="80"/>
      <c r="G121" s="80"/>
      <c r="H121" s="82">
        <f>M56</f>
        <v>224.0663132906496</v>
      </c>
      <c r="L121" s="79"/>
      <c r="M121" s="79"/>
      <c r="N121" s="79"/>
      <c r="O121" s="79"/>
      <c r="P121" s="79"/>
    </row>
    <row r="122" spans="1:16" s="65" customFormat="1" ht="12.75">
      <c r="A122" s="79"/>
      <c r="B122" s="79"/>
      <c r="C122" s="79"/>
      <c r="D122" s="79"/>
      <c r="E122" s="79"/>
      <c r="F122" s="79"/>
      <c r="G122" s="79"/>
      <c r="H122" s="82"/>
      <c r="L122" s="79"/>
      <c r="M122" s="79"/>
      <c r="N122" s="79"/>
      <c r="O122" s="79"/>
      <c r="P122" s="79"/>
    </row>
    <row r="123" spans="1:16" s="65" customFormat="1" ht="15.75">
      <c r="A123" s="105" t="s">
        <v>149</v>
      </c>
      <c r="B123" s="105"/>
      <c r="C123" s="105"/>
      <c r="D123" s="105"/>
      <c r="E123" s="80"/>
      <c r="F123" s="80"/>
      <c r="G123" s="80"/>
      <c r="H123" s="81">
        <f>M72</f>
        <v>744.7394703420651</v>
      </c>
      <c r="L123" s="79"/>
      <c r="M123" s="79"/>
      <c r="N123" s="79"/>
      <c r="O123" s="79"/>
      <c r="P123" s="79"/>
    </row>
    <row r="124" spans="1:16" s="65" customFormat="1" ht="12.75">
      <c r="A124" s="79"/>
      <c r="B124" s="79"/>
      <c r="C124" s="79"/>
      <c r="D124" s="79"/>
      <c r="E124" s="79"/>
      <c r="F124" s="79"/>
      <c r="G124" s="79"/>
      <c r="H124" s="82"/>
      <c r="L124" s="79"/>
      <c r="M124" s="79"/>
      <c r="N124" s="79"/>
      <c r="O124" s="79"/>
      <c r="P124" s="79"/>
    </row>
    <row r="125" spans="1:16" s="65" customFormat="1" ht="15.75">
      <c r="A125" s="83" t="s">
        <v>127</v>
      </c>
      <c r="B125" s="83"/>
      <c r="C125" s="83"/>
      <c r="D125" s="83"/>
      <c r="E125" s="83"/>
      <c r="F125" s="83"/>
      <c r="G125" s="83"/>
      <c r="H125" s="81">
        <f>M79</f>
        <v>3229.4414582167246</v>
      </c>
      <c r="L125" s="79"/>
      <c r="M125" s="79"/>
      <c r="N125" s="79"/>
      <c r="O125" s="79"/>
      <c r="P125" s="79"/>
    </row>
    <row r="126" spans="1:16" s="65" customFormat="1" ht="12.75">
      <c r="A126" s="79"/>
      <c r="B126" s="79"/>
      <c r="C126" s="79"/>
      <c r="D126" s="79"/>
      <c r="E126" s="79"/>
      <c r="F126" s="79"/>
      <c r="G126" s="79"/>
      <c r="H126" s="82"/>
      <c r="L126" s="79"/>
      <c r="M126" s="79"/>
      <c r="N126" s="79"/>
      <c r="O126" s="79"/>
      <c r="P126" s="79"/>
    </row>
    <row r="127" spans="1:16" s="65" customFormat="1" ht="15.75">
      <c r="A127" s="80" t="s">
        <v>150</v>
      </c>
      <c r="B127" s="80"/>
      <c r="C127" s="80"/>
      <c r="D127" s="80"/>
      <c r="E127" s="80"/>
      <c r="F127" s="84"/>
      <c r="G127" s="84"/>
      <c r="H127" s="81">
        <f>L89</f>
        <v>1.236466243626328</v>
      </c>
      <c r="L127" s="79"/>
      <c r="M127" s="79"/>
      <c r="N127" s="79"/>
      <c r="O127" s="79"/>
      <c r="P127" s="79"/>
    </row>
    <row r="128" spans="12:16" s="65" customFormat="1" ht="12.75">
      <c r="L128" s="79"/>
      <c r="M128" s="79"/>
      <c r="N128" s="79"/>
      <c r="O128" s="79"/>
      <c r="P128" s="79"/>
    </row>
    <row r="129" spans="12:16" s="65" customFormat="1" ht="12.75">
      <c r="L129" s="79"/>
      <c r="M129" s="79"/>
      <c r="N129" s="79"/>
      <c r="O129" s="79"/>
      <c r="P129" s="79"/>
    </row>
    <row r="130" spans="8:16" s="65" customFormat="1" ht="12.75">
      <c r="H130" s="65" t="s">
        <v>151</v>
      </c>
      <c r="L130" s="79"/>
      <c r="M130" s="79"/>
      <c r="N130" s="79"/>
      <c r="O130" s="79"/>
      <c r="P130" s="79"/>
    </row>
    <row r="131" spans="8:16" s="65" customFormat="1" ht="12.75">
      <c r="H131" s="65" t="s">
        <v>146</v>
      </c>
      <c r="L131" s="79"/>
      <c r="M131" s="79"/>
      <c r="N131" s="79"/>
      <c r="O131" s="79"/>
      <c r="P131" s="79"/>
    </row>
    <row r="132" spans="8:16" s="65" customFormat="1" ht="12.75">
      <c r="H132" s="65" t="s">
        <v>152</v>
      </c>
      <c r="L132" s="79"/>
      <c r="M132" s="79"/>
      <c r="N132" s="79"/>
      <c r="O132" s="79"/>
      <c r="P132" s="79"/>
    </row>
    <row r="133" spans="12:16" s="65" customFormat="1" ht="12.75">
      <c r="L133" s="79"/>
      <c r="M133" s="79"/>
      <c r="N133" s="79"/>
      <c r="O133" s="79"/>
      <c r="P133" s="79"/>
    </row>
    <row r="134" spans="12:16" s="65" customFormat="1" ht="12.75">
      <c r="L134" s="79"/>
      <c r="M134" s="79"/>
      <c r="N134" s="79"/>
      <c r="O134" s="79"/>
      <c r="P134" s="79"/>
    </row>
    <row r="135" spans="6:16" s="65" customFormat="1" ht="12.75">
      <c r="F135" s="65" t="s">
        <v>153</v>
      </c>
      <c r="L135" s="79"/>
      <c r="M135" s="79"/>
      <c r="N135" s="79"/>
      <c r="O135" s="79"/>
      <c r="P135" s="79"/>
    </row>
    <row r="136" spans="4:16" s="65" customFormat="1" ht="12.75">
      <c r="D136" s="65" t="s">
        <v>154</v>
      </c>
      <c r="L136" s="79"/>
      <c r="M136" s="79"/>
      <c r="N136" s="79"/>
      <c r="O136" s="79"/>
      <c r="P136" s="79"/>
    </row>
    <row r="137" spans="4:16" s="65" customFormat="1" ht="12.75">
      <c r="D137" s="65" t="s">
        <v>155</v>
      </c>
      <c r="L137" s="79"/>
      <c r="M137" s="79"/>
      <c r="N137" s="79"/>
      <c r="O137" s="79"/>
      <c r="P137" s="79"/>
    </row>
    <row r="138" spans="6:16" s="65" customFormat="1" ht="12.75">
      <c r="F138" s="65" t="s">
        <v>156</v>
      </c>
      <c r="L138" s="79"/>
      <c r="M138" s="79" t="s">
        <v>157</v>
      </c>
      <c r="N138" s="79"/>
      <c r="O138" s="79"/>
      <c r="P138" s="79"/>
    </row>
    <row r="139" spans="12:16" s="65" customFormat="1" ht="12.75">
      <c r="L139" s="79"/>
      <c r="M139" s="79" t="s">
        <v>158</v>
      </c>
      <c r="N139" s="79"/>
      <c r="O139" s="79"/>
      <c r="P139" s="79"/>
    </row>
    <row r="140" spans="1:16" s="65" customFormat="1" ht="12.75">
      <c r="A140" s="65" t="s">
        <v>159</v>
      </c>
      <c r="B140" s="65" t="s">
        <v>160</v>
      </c>
      <c r="D140" s="65" t="s">
        <v>161</v>
      </c>
      <c r="F140" s="65" t="s">
        <v>162</v>
      </c>
      <c r="G140" s="65" t="s">
        <v>163</v>
      </c>
      <c r="H140" s="65" t="s">
        <v>164</v>
      </c>
      <c r="J140" s="65" t="s">
        <v>165</v>
      </c>
      <c r="L140" s="79"/>
      <c r="M140" s="140" t="s">
        <v>166</v>
      </c>
      <c r="N140" s="79">
        <v>4821.9</v>
      </c>
      <c r="O140" s="79"/>
      <c r="P140" s="79"/>
    </row>
    <row r="141" spans="1:16" s="65" customFormat="1" ht="12.75">
      <c r="A141" s="65" t="s">
        <v>167</v>
      </c>
      <c r="B141" s="65" t="s">
        <v>168</v>
      </c>
      <c r="D141" s="65" t="s">
        <v>169</v>
      </c>
      <c r="F141" s="65" t="s">
        <v>170</v>
      </c>
      <c r="G141" s="65" t="s">
        <v>171</v>
      </c>
      <c r="H141" s="65" t="s">
        <v>172</v>
      </c>
      <c r="J141" s="65" t="s">
        <v>173</v>
      </c>
      <c r="L141" s="79"/>
      <c r="M141" s="79" t="s">
        <v>174</v>
      </c>
      <c r="N141" s="79"/>
      <c r="O141" s="79"/>
      <c r="P141" s="79"/>
    </row>
    <row r="142" spans="8:16" s="65" customFormat="1" ht="12.75">
      <c r="H142" s="65" t="s">
        <v>175</v>
      </c>
      <c r="I142" s="65" t="s">
        <v>176</v>
      </c>
      <c r="L142" s="79"/>
      <c r="M142" s="79"/>
      <c r="N142" s="79"/>
      <c r="O142" s="79"/>
      <c r="P142" s="79"/>
    </row>
    <row r="143" spans="8:16" s="65" customFormat="1" ht="12.75">
      <c r="H143" s="65" t="s">
        <v>170</v>
      </c>
      <c r="I143" s="65" t="s">
        <v>177</v>
      </c>
      <c r="L143" s="79"/>
      <c r="M143" s="79" t="s">
        <v>178</v>
      </c>
      <c r="N143" s="79"/>
      <c r="O143" s="79"/>
      <c r="P143" s="79"/>
    </row>
    <row r="144" spans="9:16" s="65" customFormat="1" ht="12.75">
      <c r="I144" s="65" t="s">
        <v>179</v>
      </c>
      <c r="L144" s="79"/>
      <c r="M144" s="79" t="s">
        <v>158</v>
      </c>
      <c r="N144" s="79"/>
      <c r="O144" s="79"/>
      <c r="P144" s="79"/>
    </row>
    <row r="145" spans="12:16" s="65" customFormat="1" ht="12.75">
      <c r="L145" s="79"/>
      <c r="M145" s="140" t="s">
        <v>166</v>
      </c>
      <c r="N145" s="79">
        <v>745.4</v>
      </c>
      <c r="O145" s="79"/>
      <c r="P145" s="79"/>
    </row>
    <row r="146" spans="1:16" s="65" customFormat="1" ht="12.75">
      <c r="A146" s="65" t="s">
        <v>180</v>
      </c>
      <c r="B146" s="65" t="s">
        <v>181</v>
      </c>
      <c r="D146" s="65" t="s">
        <v>182</v>
      </c>
      <c r="L146" s="79"/>
      <c r="M146" s="79" t="s">
        <v>174</v>
      </c>
      <c r="N146" s="79"/>
      <c r="O146" s="79"/>
      <c r="P146" s="79"/>
    </row>
    <row r="147" spans="2:16" s="65" customFormat="1" ht="12.75">
      <c r="B147" s="65" t="s">
        <v>183</v>
      </c>
      <c r="D147" s="65" t="s">
        <v>184</v>
      </c>
      <c r="L147" s="79"/>
      <c r="M147" s="79"/>
      <c r="N147" s="79"/>
      <c r="O147" s="79"/>
      <c r="P147" s="79"/>
    </row>
    <row r="148" spans="2:16" s="65" customFormat="1" ht="12.75">
      <c r="B148" s="65" t="s">
        <v>185</v>
      </c>
      <c r="D148" s="65" t="s">
        <v>186</v>
      </c>
      <c r="L148" s="79"/>
      <c r="M148" s="79" t="s">
        <v>187</v>
      </c>
      <c r="N148" s="79"/>
      <c r="O148" s="79"/>
      <c r="P148" s="79"/>
    </row>
    <row r="149" spans="2:16" s="65" customFormat="1" ht="12.75">
      <c r="B149" s="65" t="s">
        <v>188</v>
      </c>
      <c r="D149" s="65" t="s">
        <v>189</v>
      </c>
      <c r="L149" s="79"/>
      <c r="M149" s="79" t="s">
        <v>158</v>
      </c>
      <c r="N149" s="79"/>
      <c r="O149" s="79"/>
      <c r="P149" s="79"/>
    </row>
    <row r="150" spans="2:16" s="65" customFormat="1" ht="12.75">
      <c r="B150" s="65" t="s">
        <v>190</v>
      </c>
      <c r="L150" s="79"/>
      <c r="M150" s="140" t="s">
        <v>166</v>
      </c>
      <c r="N150" s="79">
        <v>1267.2</v>
      </c>
      <c r="O150" s="79"/>
      <c r="P150" s="79"/>
    </row>
    <row r="151" spans="4:16" s="65" customFormat="1" ht="12.75">
      <c r="D151" s="65" t="s">
        <v>191</v>
      </c>
      <c r="L151" s="79"/>
      <c r="M151" s="79" t="s">
        <v>174</v>
      </c>
      <c r="N151" s="79"/>
      <c r="O151" s="79"/>
      <c r="P151" s="79"/>
    </row>
    <row r="152" spans="4:16" s="65" customFormat="1" ht="12.75">
      <c r="D152" s="65" t="s">
        <v>192</v>
      </c>
      <c r="F152" s="65" t="s">
        <v>193</v>
      </c>
      <c r="L152" s="79"/>
      <c r="M152" s="79"/>
      <c r="N152" s="79"/>
      <c r="O152" s="79"/>
      <c r="P152" s="79"/>
    </row>
    <row r="153" spans="4:16" s="65" customFormat="1" ht="12.75">
      <c r="D153" s="65" t="s">
        <v>158</v>
      </c>
      <c r="F153" s="65" t="s">
        <v>194</v>
      </c>
      <c r="H153" s="65">
        <v>0.0687</v>
      </c>
      <c r="I153" s="65">
        <v>0</v>
      </c>
      <c r="K153" s="65">
        <f>N144/1000*H153</f>
        <v>0</v>
      </c>
      <c r="L153" s="79"/>
      <c r="M153" s="79" t="s">
        <v>195</v>
      </c>
      <c r="N153" s="79"/>
      <c r="O153" s="79"/>
      <c r="P153" s="79"/>
    </row>
    <row r="154" spans="4:16" s="65" customFormat="1" ht="12.75">
      <c r="D154" s="65" t="s">
        <v>196</v>
      </c>
      <c r="F154" s="65" t="s">
        <v>197</v>
      </c>
      <c r="H154" s="65">
        <v>0.0763</v>
      </c>
      <c r="I154" s="65">
        <v>0</v>
      </c>
      <c r="K154" s="65">
        <f>N145/1000*H154</f>
        <v>0.056874020000000004</v>
      </c>
      <c r="L154" s="79"/>
      <c r="M154" s="79" t="s">
        <v>158</v>
      </c>
      <c r="N154" s="79"/>
      <c r="O154" s="79"/>
      <c r="P154" s="79"/>
    </row>
    <row r="155" spans="4:16" s="65" customFormat="1" ht="12.75">
      <c r="D155" s="65" t="s">
        <v>198</v>
      </c>
      <c r="F155" s="65" t="s">
        <v>199</v>
      </c>
      <c r="H155" s="65">
        <v>0.0839</v>
      </c>
      <c r="I155" s="65">
        <v>0</v>
      </c>
      <c r="K155" s="69">
        <f>N146/1000*H155</f>
        <v>0</v>
      </c>
      <c r="L155" s="79"/>
      <c r="M155" s="140" t="s">
        <v>166</v>
      </c>
      <c r="N155" s="79"/>
      <c r="O155" s="79"/>
      <c r="P155" s="79"/>
    </row>
    <row r="156" spans="6:16" s="65" customFormat="1" ht="12.75">
      <c r="F156" s="65" t="s">
        <v>200</v>
      </c>
      <c r="L156" s="79"/>
      <c r="M156" s="79" t="s">
        <v>174</v>
      </c>
      <c r="N156" s="79"/>
      <c r="O156" s="79"/>
      <c r="P156" s="79"/>
    </row>
    <row r="157" spans="6:16" s="65" customFormat="1" ht="12.75">
      <c r="F157" s="65" t="s">
        <v>190</v>
      </c>
      <c r="L157" s="79"/>
      <c r="M157" s="79"/>
      <c r="N157" s="79"/>
      <c r="O157" s="79"/>
      <c r="P157" s="79"/>
    </row>
    <row r="158" spans="5:16" s="65" customFormat="1" ht="12.75">
      <c r="E158" s="65" t="s">
        <v>201</v>
      </c>
      <c r="I158" s="65">
        <v>0</v>
      </c>
      <c r="L158" s="79"/>
      <c r="M158" s="79"/>
      <c r="N158" s="79"/>
      <c r="O158" s="79"/>
      <c r="P158" s="79"/>
    </row>
    <row r="159" spans="2:16" s="65" customFormat="1" ht="12.75">
      <c r="B159" s="65" t="s">
        <v>202</v>
      </c>
      <c r="D159" s="65" t="s">
        <v>203</v>
      </c>
      <c r="L159" s="79"/>
      <c r="M159" s="79"/>
      <c r="N159" s="79"/>
      <c r="O159" s="79"/>
      <c r="P159" s="79"/>
    </row>
    <row r="160" spans="4:16" s="65" customFormat="1" ht="12.75">
      <c r="D160" s="65" t="s">
        <v>204</v>
      </c>
      <c r="L160" s="79"/>
      <c r="M160" s="79"/>
      <c r="N160" s="79"/>
      <c r="O160" s="79"/>
      <c r="P160" s="79"/>
    </row>
    <row r="161" spans="4:16" s="65" customFormat="1" ht="12.75">
      <c r="D161" s="65" t="s">
        <v>205</v>
      </c>
      <c r="L161" s="79"/>
      <c r="M161" s="79"/>
      <c r="N161" s="79"/>
      <c r="O161" s="79"/>
      <c r="P161" s="79"/>
    </row>
    <row r="162" spans="4:16" s="65" customFormat="1" ht="12.75">
      <c r="D162" s="65" t="s">
        <v>191</v>
      </c>
      <c r="L162" s="79"/>
      <c r="M162" s="79"/>
      <c r="N162" s="79"/>
      <c r="O162" s="79"/>
      <c r="P162" s="79"/>
    </row>
    <row r="163" spans="4:16" s="65" customFormat="1" ht="12.75">
      <c r="D163" s="65" t="s">
        <v>158</v>
      </c>
      <c r="H163" s="65">
        <v>0.00338</v>
      </c>
      <c r="K163" s="69">
        <f>N167/1000*H163</f>
        <v>0</v>
      </c>
      <c r="L163" s="79"/>
      <c r="M163" s="79"/>
      <c r="N163" s="79"/>
      <c r="O163" s="79"/>
      <c r="P163" s="79"/>
    </row>
    <row r="164" spans="4:16" s="65" customFormat="1" ht="12.75">
      <c r="D164" s="65" t="s">
        <v>196</v>
      </c>
      <c r="H164" s="65">
        <v>0.00376</v>
      </c>
      <c r="K164" s="69">
        <f>N168/1000*H164</f>
        <v>0.018130343999999996</v>
      </c>
      <c r="L164" s="79"/>
      <c r="M164" s="79"/>
      <c r="N164" s="79"/>
      <c r="O164" s="79"/>
      <c r="P164" s="79"/>
    </row>
    <row r="165" spans="4:16" s="65" customFormat="1" ht="12.75">
      <c r="D165" s="65" t="s">
        <v>198</v>
      </c>
      <c r="H165" s="65">
        <v>0.00414</v>
      </c>
      <c r="K165" s="69">
        <f>N169/1000*H165</f>
        <v>0</v>
      </c>
      <c r="L165" s="79"/>
      <c r="M165" s="79"/>
      <c r="N165" s="79"/>
      <c r="O165" s="79"/>
      <c r="P165" s="79"/>
    </row>
    <row r="166" spans="12:16" s="65" customFormat="1" ht="12.75">
      <c r="L166" s="79"/>
      <c r="M166" s="79" t="s">
        <v>206</v>
      </c>
      <c r="N166" s="79"/>
      <c r="O166" s="79"/>
      <c r="P166" s="79"/>
    </row>
    <row r="167" spans="1:16" s="65" customFormat="1" ht="12.75">
      <c r="A167" s="65" t="s">
        <v>207</v>
      </c>
      <c r="B167" s="65" t="s">
        <v>208</v>
      </c>
      <c r="D167" s="65" t="s">
        <v>203</v>
      </c>
      <c r="L167" s="79"/>
      <c r="M167" s="79" t="s">
        <v>158</v>
      </c>
      <c r="N167" s="79"/>
      <c r="O167" s="79"/>
      <c r="P167" s="79"/>
    </row>
    <row r="168" spans="4:16" s="65" customFormat="1" ht="12.75">
      <c r="D168" s="65" t="s">
        <v>209</v>
      </c>
      <c r="L168" s="79"/>
      <c r="M168" s="140" t="s">
        <v>166</v>
      </c>
      <c r="N168" s="79">
        <f>N140</f>
        <v>4821.9</v>
      </c>
      <c r="O168" s="79"/>
      <c r="P168" s="79"/>
    </row>
    <row r="169" spans="4:16" s="65" customFormat="1" ht="12.75">
      <c r="D169" s="65" t="s">
        <v>191</v>
      </c>
      <c r="L169" s="79"/>
      <c r="M169" s="79" t="s">
        <v>174</v>
      </c>
      <c r="N169" s="79"/>
      <c r="O169" s="79"/>
      <c r="P169" s="79"/>
    </row>
    <row r="170" spans="4:16" s="65" customFormat="1" ht="12.75">
      <c r="D170" s="65" t="s">
        <v>158</v>
      </c>
      <c r="H170" s="65">
        <v>0.02043</v>
      </c>
      <c r="I170" s="65">
        <v>0</v>
      </c>
      <c r="K170" s="65">
        <f>N154/1000*H170</f>
        <v>0</v>
      </c>
      <c r="L170" s="79"/>
      <c r="M170" s="79"/>
      <c r="N170" s="79"/>
      <c r="O170" s="79"/>
      <c r="P170" s="79"/>
    </row>
    <row r="171" spans="4:16" s="65" customFormat="1" ht="12.75">
      <c r="D171" s="65" t="s">
        <v>196</v>
      </c>
      <c r="H171" s="65">
        <v>0.0227</v>
      </c>
      <c r="I171" s="65">
        <v>0</v>
      </c>
      <c r="K171" s="65">
        <f>N155/1000*H171</f>
        <v>0</v>
      </c>
      <c r="L171" s="79"/>
      <c r="M171" s="79" t="s">
        <v>210</v>
      </c>
      <c r="N171" s="79"/>
      <c r="O171" s="79"/>
      <c r="P171" s="79"/>
    </row>
    <row r="172" spans="4:16" s="65" customFormat="1" ht="12.75">
      <c r="D172" s="65" t="s">
        <v>198</v>
      </c>
      <c r="H172" s="65">
        <v>0.02497</v>
      </c>
      <c r="I172" s="65">
        <v>0</v>
      </c>
      <c r="K172" s="65">
        <f>N156/1000*H172</f>
        <v>0</v>
      </c>
      <c r="L172" s="79"/>
      <c r="M172" s="79" t="s">
        <v>158</v>
      </c>
      <c r="N172" s="79"/>
      <c r="O172" s="79"/>
      <c r="P172" s="79"/>
    </row>
    <row r="173" spans="4:16" s="65" customFormat="1" ht="12.75">
      <c r="D173" s="65" t="s">
        <v>211</v>
      </c>
      <c r="L173" s="79"/>
      <c r="M173" s="140" t="s">
        <v>166</v>
      </c>
      <c r="N173" s="79">
        <v>168</v>
      </c>
      <c r="O173" s="79"/>
      <c r="P173" s="79"/>
    </row>
    <row r="174" spans="4:16" s="65" customFormat="1" ht="12.75">
      <c r="D174" s="65" t="s">
        <v>191</v>
      </c>
      <c r="L174" s="79"/>
      <c r="M174" s="79" t="s">
        <v>174</v>
      </c>
      <c r="N174" s="79"/>
      <c r="O174" s="79"/>
      <c r="P174" s="79"/>
    </row>
    <row r="175" spans="4:16" s="65" customFormat="1" ht="12.75">
      <c r="D175" s="65" t="s">
        <v>192</v>
      </c>
      <c r="F175" s="65" t="s">
        <v>193</v>
      </c>
      <c r="L175" s="79"/>
      <c r="M175" s="79"/>
      <c r="N175" s="79"/>
      <c r="O175" s="79"/>
      <c r="P175" s="79"/>
    </row>
    <row r="176" spans="4:16" s="65" customFormat="1" ht="12.75">
      <c r="D176" s="65" t="s">
        <v>158</v>
      </c>
      <c r="H176" s="65">
        <v>0.00999</v>
      </c>
      <c r="K176" s="69">
        <f>N139/1000*H176</f>
        <v>0</v>
      </c>
      <c r="L176" s="79"/>
      <c r="M176" s="79"/>
      <c r="N176" s="79"/>
      <c r="O176" s="79"/>
      <c r="P176" s="79"/>
    </row>
    <row r="177" spans="4:16" s="65" customFormat="1" ht="12.75">
      <c r="D177" s="65" t="s">
        <v>196</v>
      </c>
      <c r="H177" s="65">
        <v>0.0111</v>
      </c>
      <c r="K177" s="69">
        <f>N140/1000*H177</f>
        <v>0.053523089999999995</v>
      </c>
      <c r="L177" s="79"/>
      <c r="M177" s="79"/>
      <c r="N177" s="79"/>
      <c r="O177" s="79"/>
      <c r="P177" s="79"/>
    </row>
    <row r="178" spans="4:16" s="65" customFormat="1" ht="12.75">
      <c r="D178" s="65" t="s">
        <v>198</v>
      </c>
      <c r="H178" s="65">
        <v>0.01221</v>
      </c>
      <c r="I178" s="65">
        <v>0</v>
      </c>
      <c r="K178" s="69">
        <f>N141/1000*H178</f>
        <v>0</v>
      </c>
      <c r="L178" s="79"/>
      <c r="M178" s="79"/>
      <c r="N178" s="79"/>
      <c r="O178" s="79"/>
      <c r="P178" s="79"/>
    </row>
    <row r="179" spans="9:16" s="65" customFormat="1" ht="12.75">
      <c r="I179" s="65">
        <v>0</v>
      </c>
      <c r="L179" s="79"/>
      <c r="M179" s="79"/>
      <c r="N179" s="79"/>
      <c r="O179" s="79"/>
      <c r="P179" s="79"/>
    </row>
    <row r="180" spans="5:16" s="65" customFormat="1" ht="12.75">
      <c r="E180" s="65" t="s">
        <v>201</v>
      </c>
      <c r="G180" s="65">
        <v>0</v>
      </c>
      <c r="I180" s="65">
        <v>0</v>
      </c>
      <c r="L180" s="79"/>
      <c r="M180" s="79"/>
      <c r="N180" s="79"/>
      <c r="O180" s="79"/>
      <c r="P180" s="79"/>
    </row>
    <row r="181" spans="1:16" s="65" customFormat="1" ht="12.75">
      <c r="A181" s="65" t="s">
        <v>212</v>
      </c>
      <c r="B181" s="65" t="s">
        <v>213</v>
      </c>
      <c r="D181" s="65" t="s">
        <v>203</v>
      </c>
      <c r="F181" s="65" t="s">
        <v>193</v>
      </c>
      <c r="L181" s="79"/>
      <c r="M181" s="79"/>
      <c r="N181" s="79"/>
      <c r="O181" s="79"/>
      <c r="P181" s="79"/>
    </row>
    <row r="182" spans="2:16" s="65" customFormat="1" ht="12.75">
      <c r="B182" s="65" t="s">
        <v>214</v>
      </c>
      <c r="D182" s="65" t="s">
        <v>209</v>
      </c>
      <c r="F182" s="65" t="s">
        <v>215</v>
      </c>
      <c r="L182" s="79"/>
      <c r="M182" s="79"/>
      <c r="N182" s="79"/>
      <c r="O182" s="79"/>
      <c r="P182" s="79"/>
    </row>
    <row r="183" spans="4:16" s="65" customFormat="1" ht="12.75">
      <c r="D183" s="65" t="s">
        <v>191</v>
      </c>
      <c r="F183" s="65" t="s">
        <v>216</v>
      </c>
      <c r="L183" s="79"/>
      <c r="M183" s="79"/>
      <c r="N183" s="79"/>
      <c r="O183" s="79"/>
      <c r="P183" s="79"/>
    </row>
    <row r="184" spans="4:16" s="65" customFormat="1" ht="12.75">
      <c r="D184" s="65" t="s">
        <v>158</v>
      </c>
      <c r="H184" s="65">
        <v>0.018432</v>
      </c>
      <c r="I184" s="65">
        <v>0</v>
      </c>
      <c r="K184" s="65">
        <f>N154/1000*H184</f>
        <v>0</v>
      </c>
      <c r="L184" s="79"/>
      <c r="M184" s="79"/>
      <c r="N184" s="79"/>
      <c r="O184" s="79"/>
      <c r="P184" s="79"/>
    </row>
    <row r="185" spans="4:16" s="65" customFormat="1" ht="12.75">
      <c r="D185" s="65" t="s">
        <v>196</v>
      </c>
      <c r="H185" s="65">
        <v>0.02048</v>
      </c>
      <c r="I185" s="65">
        <v>0</v>
      </c>
      <c r="K185" s="65">
        <f>N155/1000*H185</f>
        <v>0</v>
      </c>
      <c r="L185" s="79"/>
      <c r="M185" s="79"/>
      <c r="N185" s="79"/>
      <c r="O185" s="79"/>
      <c r="P185" s="79"/>
    </row>
    <row r="186" spans="4:16" s="65" customFormat="1" ht="12.75">
      <c r="D186" s="65" t="s">
        <v>198</v>
      </c>
      <c r="K186" s="65">
        <f>N156/1000*H186</f>
        <v>0</v>
      </c>
      <c r="L186" s="79"/>
      <c r="M186" s="79"/>
      <c r="N186" s="79"/>
      <c r="O186" s="79"/>
      <c r="P186" s="79"/>
    </row>
    <row r="187" spans="4:16" s="65" customFormat="1" ht="12.75">
      <c r="D187" s="65" t="s">
        <v>211</v>
      </c>
      <c r="L187" s="79"/>
      <c r="M187" s="79"/>
      <c r="N187" s="79"/>
      <c r="O187" s="79"/>
      <c r="P187" s="79"/>
    </row>
    <row r="188" spans="4:16" s="65" customFormat="1" ht="12.75">
      <c r="D188" s="65" t="s">
        <v>191</v>
      </c>
      <c r="L188" s="79"/>
      <c r="M188" s="79"/>
      <c r="N188" s="79"/>
      <c r="O188" s="79"/>
      <c r="P188" s="79"/>
    </row>
    <row r="189" spans="4:16" s="65" customFormat="1" ht="12.75">
      <c r="D189" s="65" t="s">
        <v>192</v>
      </c>
      <c r="L189" s="79"/>
      <c r="M189" s="79"/>
      <c r="N189" s="79"/>
      <c r="O189" s="79"/>
      <c r="P189" s="79"/>
    </row>
    <row r="190" spans="4:16" s="65" customFormat="1" ht="12.75">
      <c r="D190" s="65" t="s">
        <v>158</v>
      </c>
      <c r="K190" s="69">
        <f>N139/1000*H190</f>
        <v>0</v>
      </c>
      <c r="L190" s="79"/>
      <c r="M190" s="79"/>
      <c r="N190" s="79"/>
      <c r="O190" s="79"/>
      <c r="P190" s="79"/>
    </row>
    <row r="191" spans="4:16" s="65" customFormat="1" ht="12.75">
      <c r="D191" s="65" t="s">
        <v>196</v>
      </c>
      <c r="H191" s="65">
        <v>0.02295</v>
      </c>
      <c r="I191" s="65">
        <v>0</v>
      </c>
      <c r="K191" s="69">
        <f>N140/1000*H191</f>
        <v>0.110662605</v>
      </c>
      <c r="L191" s="79"/>
      <c r="M191" s="79"/>
      <c r="N191" s="79"/>
      <c r="O191" s="79"/>
      <c r="P191" s="79"/>
    </row>
    <row r="192" spans="4:16" s="65" customFormat="1" ht="12.75">
      <c r="D192" s="65" t="s">
        <v>198</v>
      </c>
      <c r="H192" s="65">
        <v>0.025245</v>
      </c>
      <c r="I192" s="65">
        <v>0</v>
      </c>
      <c r="K192" s="69">
        <f>N141/1000*H192</f>
        <v>0</v>
      </c>
      <c r="L192" s="79"/>
      <c r="M192" s="79"/>
      <c r="N192" s="79"/>
      <c r="O192" s="79"/>
      <c r="P192" s="79"/>
    </row>
    <row r="193" spans="5:16" s="65" customFormat="1" ht="12.75">
      <c r="E193" s="65" t="s">
        <v>201</v>
      </c>
      <c r="G193" s="65">
        <v>0</v>
      </c>
      <c r="I193" s="65">
        <v>0</v>
      </c>
      <c r="K193" s="69"/>
      <c r="L193" s="79"/>
      <c r="M193" s="79"/>
      <c r="N193" s="79"/>
      <c r="O193" s="79"/>
      <c r="P193" s="79"/>
    </row>
    <row r="194" spans="11:16" s="65" customFormat="1" ht="12.75">
      <c r="K194" s="69"/>
      <c r="L194" s="79"/>
      <c r="M194" s="79"/>
      <c r="N194" s="79"/>
      <c r="O194" s="79"/>
      <c r="P194" s="79"/>
    </row>
    <row r="195" spans="1:16" s="65" customFormat="1" ht="12.75">
      <c r="A195" s="65" t="s">
        <v>217</v>
      </c>
      <c r="B195" s="65" t="s">
        <v>218</v>
      </c>
      <c r="D195" s="65" t="s">
        <v>203</v>
      </c>
      <c r="K195" s="69"/>
      <c r="L195" s="79"/>
      <c r="M195" s="79"/>
      <c r="N195" s="79"/>
      <c r="O195" s="79"/>
      <c r="P195" s="79"/>
    </row>
    <row r="196" spans="4:16" s="65" customFormat="1" ht="12.75">
      <c r="D196" s="65" t="s">
        <v>209</v>
      </c>
      <c r="K196" s="69"/>
      <c r="L196" s="79"/>
      <c r="M196" s="79"/>
      <c r="N196" s="79"/>
      <c r="O196" s="79"/>
      <c r="P196" s="79"/>
    </row>
    <row r="197" spans="4:16" s="65" customFormat="1" ht="12.75">
      <c r="D197" s="65" t="s">
        <v>191</v>
      </c>
      <c r="K197" s="69"/>
      <c r="L197" s="79"/>
      <c r="M197" s="79"/>
      <c r="N197" s="79"/>
      <c r="O197" s="79"/>
      <c r="P197" s="79"/>
    </row>
    <row r="198" spans="4:16" s="65" customFormat="1" ht="12.75">
      <c r="D198" s="65" t="s">
        <v>158</v>
      </c>
      <c r="H198" s="65">
        <v>0.027585</v>
      </c>
      <c r="I198" s="65">
        <v>0</v>
      </c>
      <c r="K198" s="69">
        <f>N154/1000*H198</f>
        <v>0</v>
      </c>
      <c r="L198" s="79"/>
      <c r="M198" s="79"/>
      <c r="N198" s="79"/>
      <c r="O198" s="79"/>
      <c r="P198" s="79"/>
    </row>
    <row r="199" spans="4:16" s="65" customFormat="1" ht="12.75">
      <c r="D199" s="65" t="s">
        <v>196</v>
      </c>
      <c r="H199" s="65">
        <v>0.3065</v>
      </c>
      <c r="I199" s="65">
        <v>0</v>
      </c>
      <c r="K199" s="69">
        <f>N155/1000*H199</f>
        <v>0</v>
      </c>
      <c r="L199" s="79"/>
      <c r="M199" s="79"/>
      <c r="N199" s="79"/>
      <c r="O199" s="79"/>
      <c r="P199" s="79"/>
    </row>
    <row r="200" spans="4:16" s="65" customFormat="1" ht="12.75">
      <c r="D200" s="65" t="s">
        <v>198</v>
      </c>
      <c r="K200" s="69">
        <f>N156/1000*H200</f>
        <v>0</v>
      </c>
      <c r="L200" s="79"/>
      <c r="M200" s="79"/>
      <c r="N200" s="79"/>
      <c r="O200" s="79"/>
      <c r="P200" s="79"/>
    </row>
    <row r="201" spans="4:16" s="65" customFormat="1" ht="12.75">
      <c r="D201" s="65" t="s">
        <v>211</v>
      </c>
      <c r="K201" s="69"/>
      <c r="L201" s="79"/>
      <c r="M201" s="79"/>
      <c r="N201" s="79"/>
      <c r="O201" s="79"/>
      <c r="P201" s="79"/>
    </row>
    <row r="202" spans="4:16" s="65" customFormat="1" ht="12.75">
      <c r="D202" s="65" t="s">
        <v>191</v>
      </c>
      <c r="K202" s="69"/>
      <c r="L202" s="79"/>
      <c r="M202" s="79"/>
      <c r="N202" s="79"/>
      <c r="O202" s="79"/>
      <c r="P202" s="79"/>
    </row>
    <row r="203" spans="4:16" s="65" customFormat="1" ht="12.75">
      <c r="D203" s="65" t="s">
        <v>192</v>
      </c>
      <c r="K203" s="69"/>
      <c r="L203" s="79"/>
      <c r="M203" s="79"/>
      <c r="N203" s="79"/>
      <c r="O203" s="79"/>
      <c r="P203" s="79"/>
    </row>
    <row r="204" spans="4:16" s="65" customFormat="1" ht="12.75">
      <c r="D204" s="65" t="s">
        <v>158</v>
      </c>
      <c r="K204" s="69">
        <f>N139/1000*H204</f>
        <v>0</v>
      </c>
      <c r="L204" s="79"/>
      <c r="M204" s="79"/>
      <c r="N204" s="79"/>
      <c r="O204" s="79"/>
      <c r="P204" s="79"/>
    </row>
    <row r="205" spans="4:16" s="65" customFormat="1" ht="12.75">
      <c r="D205" s="65" t="s">
        <v>196</v>
      </c>
      <c r="H205" s="65">
        <v>0.00539</v>
      </c>
      <c r="I205" s="65">
        <v>0</v>
      </c>
      <c r="K205" s="69">
        <f>N140/1000*H205</f>
        <v>0.025990040999999995</v>
      </c>
      <c r="L205" s="79"/>
      <c r="M205" s="79"/>
      <c r="N205" s="79"/>
      <c r="O205" s="79"/>
      <c r="P205" s="79"/>
    </row>
    <row r="206" spans="4:16" s="65" customFormat="1" ht="12.75">
      <c r="D206" s="65" t="s">
        <v>198</v>
      </c>
      <c r="H206" s="65">
        <v>0.005929</v>
      </c>
      <c r="I206" s="65">
        <v>0</v>
      </c>
      <c r="K206" s="69">
        <f>N141/1000*H206</f>
        <v>0</v>
      </c>
      <c r="L206" s="79"/>
      <c r="M206" s="79"/>
      <c r="N206" s="79"/>
      <c r="O206" s="79"/>
      <c r="P206" s="79"/>
    </row>
    <row r="207" spans="5:16" s="65" customFormat="1" ht="12.75">
      <c r="E207" s="65" t="s">
        <v>201</v>
      </c>
      <c r="G207" s="65">
        <v>0</v>
      </c>
      <c r="I207" s="65">
        <v>0</v>
      </c>
      <c r="K207" s="69"/>
      <c r="L207" s="79"/>
      <c r="M207" s="79"/>
      <c r="N207" s="79"/>
      <c r="O207" s="79"/>
      <c r="P207" s="79"/>
    </row>
    <row r="208" spans="11:16" s="65" customFormat="1" ht="12.75">
      <c r="K208" s="69"/>
      <c r="L208" s="79"/>
      <c r="M208" s="79"/>
      <c r="N208" s="79"/>
      <c r="O208" s="79"/>
      <c r="P208" s="79"/>
    </row>
    <row r="209" spans="1:16" s="65" customFormat="1" ht="12.75">
      <c r="A209" s="65" t="s">
        <v>219</v>
      </c>
      <c r="B209" s="65" t="s">
        <v>220</v>
      </c>
      <c r="D209" s="65" t="s">
        <v>203</v>
      </c>
      <c r="K209" s="69"/>
      <c r="L209" s="79"/>
      <c r="M209" s="79"/>
      <c r="N209" s="79"/>
      <c r="O209" s="79"/>
      <c r="P209" s="79"/>
    </row>
    <row r="210" spans="2:16" s="65" customFormat="1" ht="12.75">
      <c r="B210" s="65" t="s">
        <v>214</v>
      </c>
      <c r="D210" s="65" t="s">
        <v>209</v>
      </c>
      <c r="K210" s="69"/>
      <c r="L210" s="79"/>
      <c r="M210" s="79"/>
      <c r="N210" s="79"/>
      <c r="O210" s="79"/>
      <c r="P210" s="79"/>
    </row>
    <row r="211" spans="4:16" s="65" customFormat="1" ht="12.75">
      <c r="D211" s="65" t="s">
        <v>191</v>
      </c>
      <c r="K211" s="69"/>
      <c r="L211" s="79"/>
      <c r="M211" s="79"/>
      <c r="N211" s="79"/>
      <c r="O211" s="79"/>
      <c r="P211" s="79"/>
    </row>
    <row r="212" spans="4:16" s="65" customFormat="1" ht="12.75">
      <c r="D212" s="65" t="s">
        <v>158</v>
      </c>
      <c r="H212" s="65">
        <v>0.022437</v>
      </c>
      <c r="I212" s="65">
        <v>0</v>
      </c>
      <c r="K212" s="69">
        <f>N154/1000*H212</f>
        <v>0</v>
      </c>
      <c r="L212" s="79"/>
      <c r="M212" s="79"/>
      <c r="N212" s="79"/>
      <c r="O212" s="79"/>
      <c r="P212" s="79"/>
    </row>
    <row r="213" spans="4:16" s="65" customFormat="1" ht="12.75">
      <c r="D213" s="65" t="s">
        <v>196</v>
      </c>
      <c r="H213" s="65">
        <v>0.02493</v>
      </c>
      <c r="I213" s="65">
        <v>0</v>
      </c>
      <c r="K213" s="69">
        <f>N155/1000*H213</f>
        <v>0</v>
      </c>
      <c r="L213" s="79"/>
      <c r="M213" s="79"/>
      <c r="N213" s="79"/>
      <c r="O213" s="79"/>
      <c r="P213" s="79"/>
    </row>
    <row r="214" spans="4:16" s="65" customFormat="1" ht="12.75">
      <c r="D214" s="65" t="s">
        <v>198</v>
      </c>
      <c r="K214" s="65">
        <f>N156/1000*H214</f>
        <v>0</v>
      </c>
      <c r="L214" s="79"/>
      <c r="M214" s="79"/>
      <c r="N214" s="79"/>
      <c r="O214" s="79"/>
      <c r="P214" s="79"/>
    </row>
    <row r="215" spans="4:16" s="65" customFormat="1" ht="12.75">
      <c r="D215" s="65" t="s">
        <v>211</v>
      </c>
      <c r="L215" s="79"/>
      <c r="M215" s="79"/>
      <c r="N215" s="79"/>
      <c r="O215" s="79"/>
      <c r="P215" s="79"/>
    </row>
    <row r="216" spans="4:16" s="65" customFormat="1" ht="12.75">
      <c r="D216" s="65" t="s">
        <v>191</v>
      </c>
      <c r="L216" s="79"/>
      <c r="M216" s="79"/>
      <c r="N216" s="79"/>
      <c r="O216" s="79"/>
      <c r="P216" s="79"/>
    </row>
    <row r="217" spans="4:16" s="65" customFormat="1" ht="12.75">
      <c r="D217" s="65" t="s">
        <v>192</v>
      </c>
      <c r="L217" s="79"/>
      <c r="M217" s="79"/>
      <c r="N217" s="79"/>
      <c r="O217" s="79"/>
      <c r="P217" s="79"/>
    </row>
    <row r="218" spans="4:16" s="65" customFormat="1" ht="12.75">
      <c r="D218" s="65" t="s">
        <v>158</v>
      </c>
      <c r="K218" s="69">
        <f>N139/1000*H218</f>
        <v>0</v>
      </c>
      <c r="L218" s="79"/>
      <c r="M218" s="79"/>
      <c r="N218" s="79"/>
      <c r="O218" s="79"/>
      <c r="P218" s="79"/>
    </row>
    <row r="219" spans="4:16" s="65" customFormat="1" ht="12.75">
      <c r="D219" s="65" t="s">
        <v>196</v>
      </c>
      <c r="H219" s="65">
        <v>0.00888</v>
      </c>
      <c r="I219" s="65">
        <v>0</v>
      </c>
      <c r="K219" s="69">
        <f>N140/1000*H219</f>
        <v>0.042818471999999996</v>
      </c>
      <c r="L219" s="79"/>
      <c r="M219" s="79"/>
      <c r="N219" s="79"/>
      <c r="O219" s="79"/>
      <c r="P219" s="79"/>
    </row>
    <row r="220" spans="4:16" s="65" customFormat="1" ht="12.75">
      <c r="D220" s="65" t="s">
        <v>198</v>
      </c>
      <c r="H220" s="65">
        <v>0.009768</v>
      </c>
      <c r="I220" s="65">
        <v>0</v>
      </c>
      <c r="K220" s="69">
        <f>N141/1000*H220</f>
        <v>0</v>
      </c>
      <c r="L220" s="79"/>
      <c r="M220" s="79"/>
      <c r="N220" s="79"/>
      <c r="O220" s="79"/>
      <c r="P220" s="79"/>
    </row>
    <row r="221" spans="5:16" s="65" customFormat="1" ht="12.75">
      <c r="E221" s="65" t="s">
        <v>201</v>
      </c>
      <c r="G221" s="65">
        <v>0</v>
      </c>
      <c r="I221" s="65">
        <v>0</v>
      </c>
      <c r="K221" s="69"/>
      <c r="L221" s="79"/>
      <c r="M221" s="79"/>
      <c r="N221" s="79"/>
      <c r="O221" s="79"/>
      <c r="P221" s="79"/>
    </row>
    <row r="222" spans="11:16" s="65" customFormat="1" ht="12.75">
      <c r="K222" s="69"/>
      <c r="L222" s="79"/>
      <c r="M222" s="79"/>
      <c r="N222" s="79"/>
      <c r="O222" s="79"/>
      <c r="P222" s="79"/>
    </row>
    <row r="223" spans="2:16" s="65" customFormat="1" ht="12.75">
      <c r="B223" s="65" t="s">
        <v>221</v>
      </c>
      <c r="D223" s="65" t="s">
        <v>203</v>
      </c>
      <c r="L223" s="79"/>
      <c r="M223" s="79"/>
      <c r="N223" s="79"/>
      <c r="O223" s="79"/>
      <c r="P223" s="79"/>
    </row>
    <row r="224" spans="4:16" s="65" customFormat="1" ht="12.75">
      <c r="D224" s="65" t="s">
        <v>204</v>
      </c>
      <c r="L224" s="79"/>
      <c r="M224" s="79"/>
      <c r="N224" s="79"/>
      <c r="O224" s="79"/>
      <c r="P224" s="79"/>
    </row>
    <row r="225" spans="4:16" s="65" customFormat="1" ht="12.75">
      <c r="D225" s="65" t="s">
        <v>205</v>
      </c>
      <c r="L225" s="79"/>
      <c r="M225" s="79"/>
      <c r="N225" s="79"/>
      <c r="O225" s="79"/>
      <c r="P225" s="79"/>
    </row>
    <row r="226" spans="4:16" s="65" customFormat="1" ht="12.75">
      <c r="D226" s="65" t="s">
        <v>191</v>
      </c>
      <c r="L226" s="79"/>
      <c r="M226" s="79"/>
      <c r="N226" s="79"/>
      <c r="O226" s="79"/>
      <c r="P226" s="79"/>
    </row>
    <row r="227" spans="4:16" s="65" customFormat="1" ht="12.75">
      <c r="D227" s="65" t="s">
        <v>158</v>
      </c>
      <c r="H227" s="65">
        <v>0.0243</v>
      </c>
      <c r="K227" s="69">
        <f>N167/1000*H227</f>
        <v>0</v>
      </c>
      <c r="L227" s="79"/>
      <c r="M227" s="79"/>
      <c r="N227" s="79"/>
      <c r="O227" s="79"/>
      <c r="P227" s="79"/>
    </row>
    <row r="228" spans="4:16" s="65" customFormat="1" ht="12.75">
      <c r="D228" s="65" t="s">
        <v>196</v>
      </c>
      <c r="H228" s="65">
        <v>0.027</v>
      </c>
      <c r="K228" s="69">
        <f>N168/1000*H228</f>
        <v>0.13019129999999998</v>
      </c>
      <c r="L228" s="79"/>
      <c r="M228" s="79"/>
      <c r="N228" s="79"/>
      <c r="O228" s="79"/>
      <c r="P228" s="79"/>
    </row>
    <row r="229" spans="4:16" s="65" customFormat="1" ht="12.75">
      <c r="D229" s="65" t="s">
        <v>198</v>
      </c>
      <c r="H229" s="65">
        <v>0.0297</v>
      </c>
      <c r="K229" s="69">
        <f>N169/1000*H229</f>
        <v>0</v>
      </c>
      <c r="L229" s="79"/>
      <c r="M229" s="79"/>
      <c r="N229" s="79"/>
      <c r="O229" s="79"/>
      <c r="P229" s="79"/>
    </row>
    <row r="230" spans="1:16" s="65" customFormat="1" ht="12.75">
      <c r="A230" s="65" t="s">
        <v>222</v>
      </c>
      <c r="B230" s="65" t="s">
        <v>223</v>
      </c>
      <c r="D230" s="65" t="s">
        <v>203</v>
      </c>
      <c r="K230" s="69"/>
      <c r="L230" s="79"/>
      <c r="M230" s="79"/>
      <c r="N230" s="79"/>
      <c r="O230" s="79"/>
      <c r="P230" s="79"/>
    </row>
    <row r="231" spans="4:16" s="65" customFormat="1" ht="12.75">
      <c r="D231" s="65" t="s">
        <v>209</v>
      </c>
      <c r="K231" s="69"/>
      <c r="L231" s="79"/>
      <c r="M231" s="79"/>
      <c r="N231" s="79"/>
      <c r="O231" s="79"/>
      <c r="P231" s="79"/>
    </row>
    <row r="232" spans="4:16" s="65" customFormat="1" ht="12.75">
      <c r="D232" s="65" t="s">
        <v>191</v>
      </c>
      <c r="K232" s="69"/>
      <c r="L232" s="79"/>
      <c r="M232" s="79"/>
      <c r="N232" s="79"/>
      <c r="O232" s="79"/>
      <c r="P232" s="79"/>
    </row>
    <row r="233" spans="4:16" s="65" customFormat="1" ht="12.75">
      <c r="D233" s="65" t="s">
        <v>158</v>
      </c>
      <c r="H233" s="65">
        <v>0.01773</v>
      </c>
      <c r="I233" s="65">
        <v>0</v>
      </c>
      <c r="K233" s="69">
        <f>N154/1000*H233</f>
        <v>0</v>
      </c>
      <c r="L233" s="79"/>
      <c r="M233" s="79"/>
      <c r="N233" s="79"/>
      <c r="O233" s="79"/>
      <c r="P233" s="79"/>
    </row>
    <row r="234" spans="4:16" s="65" customFormat="1" ht="12.75">
      <c r="D234" s="65" t="s">
        <v>196</v>
      </c>
      <c r="H234" s="65">
        <v>0.0197</v>
      </c>
      <c r="I234" s="65">
        <v>0</v>
      </c>
      <c r="K234" s="69">
        <f>N155/1000*H234</f>
        <v>0</v>
      </c>
      <c r="L234" s="79"/>
      <c r="M234" s="79"/>
      <c r="N234" s="79"/>
      <c r="O234" s="79"/>
      <c r="P234" s="79"/>
    </row>
    <row r="235" spans="4:16" s="65" customFormat="1" ht="12.75">
      <c r="D235" s="65" t="s">
        <v>198</v>
      </c>
      <c r="K235" s="69">
        <f>N156/1000*H235</f>
        <v>0</v>
      </c>
      <c r="L235" s="79"/>
      <c r="M235" s="79"/>
      <c r="N235" s="79"/>
      <c r="O235" s="79"/>
      <c r="P235" s="79"/>
    </row>
    <row r="236" spans="4:16" s="65" customFormat="1" ht="12.75">
      <c r="D236" s="65" t="s">
        <v>211</v>
      </c>
      <c r="K236" s="69"/>
      <c r="L236" s="79"/>
      <c r="M236" s="79"/>
      <c r="N236" s="79"/>
      <c r="O236" s="79"/>
      <c r="P236" s="79"/>
    </row>
    <row r="237" spans="4:16" s="65" customFormat="1" ht="12.75">
      <c r="D237" s="65" t="s">
        <v>191</v>
      </c>
      <c r="K237" s="69"/>
      <c r="L237" s="79"/>
      <c r="M237" s="79"/>
      <c r="N237" s="79"/>
      <c r="O237" s="79"/>
      <c r="P237" s="79"/>
    </row>
    <row r="238" spans="4:16" s="65" customFormat="1" ht="12.75">
      <c r="D238" s="65" t="s">
        <v>192</v>
      </c>
      <c r="K238" s="69"/>
      <c r="L238" s="79"/>
      <c r="M238" s="79"/>
      <c r="N238" s="79"/>
      <c r="O238" s="79"/>
      <c r="P238" s="79"/>
    </row>
    <row r="239" spans="4:16" s="65" customFormat="1" ht="12.75">
      <c r="D239" s="65" t="s">
        <v>158</v>
      </c>
      <c r="K239" s="69">
        <f>N139/1000*H239</f>
        <v>0</v>
      </c>
      <c r="L239" s="79"/>
      <c r="M239" s="79"/>
      <c r="N239" s="79"/>
      <c r="O239" s="79"/>
      <c r="P239" s="79"/>
    </row>
    <row r="240" spans="4:16" s="65" customFormat="1" ht="12.75">
      <c r="D240" s="65" t="s">
        <v>196</v>
      </c>
      <c r="H240" s="65">
        <v>0.0018</v>
      </c>
      <c r="I240" s="65">
        <v>0</v>
      </c>
      <c r="K240" s="69">
        <f>N140/1000*H240</f>
        <v>0.008679419999999998</v>
      </c>
      <c r="L240" s="79"/>
      <c r="M240" s="79"/>
      <c r="N240" s="79"/>
      <c r="O240" s="79"/>
      <c r="P240" s="79"/>
    </row>
    <row r="241" spans="4:16" s="65" customFormat="1" ht="12.75">
      <c r="D241" s="65" t="s">
        <v>198</v>
      </c>
      <c r="H241" s="65">
        <v>0.00198</v>
      </c>
      <c r="I241" s="65">
        <v>0</v>
      </c>
      <c r="K241" s="69">
        <f>N141/1000*H241</f>
        <v>0</v>
      </c>
      <c r="L241" s="79"/>
      <c r="M241" s="79"/>
      <c r="N241" s="79"/>
      <c r="O241" s="79"/>
      <c r="P241" s="79"/>
    </row>
    <row r="242" spans="5:16" s="65" customFormat="1" ht="12.75">
      <c r="E242" s="65" t="s">
        <v>201</v>
      </c>
      <c r="G242" s="65">
        <v>0</v>
      </c>
      <c r="I242" s="65">
        <v>0</v>
      </c>
      <c r="K242" s="69"/>
      <c r="L242" s="79"/>
      <c r="M242" s="79"/>
      <c r="N242" s="79"/>
      <c r="O242" s="79"/>
      <c r="P242" s="79"/>
    </row>
    <row r="243" spans="11:16" s="65" customFormat="1" ht="12.75">
      <c r="K243" s="69"/>
      <c r="L243" s="79"/>
      <c r="M243" s="79"/>
      <c r="N243" s="79"/>
      <c r="O243" s="79"/>
      <c r="P243" s="79"/>
    </row>
    <row r="244" spans="2:16" s="65" customFormat="1" ht="12.75">
      <c r="B244" s="65" t="s">
        <v>224</v>
      </c>
      <c r="D244" s="65" t="s">
        <v>203</v>
      </c>
      <c r="G244" s="65" t="s">
        <v>225</v>
      </c>
      <c r="L244" s="79"/>
      <c r="M244" s="79"/>
      <c r="N244" s="79"/>
      <c r="O244" s="79"/>
      <c r="P244" s="79"/>
    </row>
    <row r="245" spans="4:16" s="65" customFormat="1" ht="12.75">
      <c r="D245" s="65" t="s">
        <v>204</v>
      </c>
      <c r="G245" s="65" t="s">
        <v>226</v>
      </c>
      <c r="L245" s="79"/>
      <c r="M245" s="79"/>
      <c r="N245" s="79"/>
      <c r="O245" s="79"/>
      <c r="P245" s="79"/>
    </row>
    <row r="246" spans="4:16" s="65" customFormat="1" ht="12.75">
      <c r="D246" s="65" t="s">
        <v>205</v>
      </c>
      <c r="G246" s="65" t="s">
        <v>227</v>
      </c>
      <c r="L246" s="79"/>
      <c r="M246" s="79"/>
      <c r="N246" s="79"/>
      <c r="O246" s="79"/>
      <c r="P246" s="79"/>
    </row>
    <row r="247" spans="4:16" s="65" customFormat="1" ht="12.75">
      <c r="D247" s="65" t="s">
        <v>191</v>
      </c>
      <c r="L247" s="79"/>
      <c r="M247" s="79"/>
      <c r="N247" s="79"/>
      <c r="O247" s="79"/>
      <c r="P247" s="79"/>
    </row>
    <row r="248" spans="4:16" s="65" customFormat="1" ht="12.75">
      <c r="D248" s="65" t="s">
        <v>158</v>
      </c>
      <c r="H248" s="65">
        <v>0.02367</v>
      </c>
      <c r="K248" s="69">
        <f>N149/1000*H248</f>
        <v>0</v>
      </c>
      <c r="L248" s="79"/>
      <c r="M248" s="79"/>
      <c r="N248" s="79"/>
      <c r="O248" s="79"/>
      <c r="P248" s="79"/>
    </row>
    <row r="249" spans="4:16" s="65" customFormat="1" ht="12.75">
      <c r="D249" s="65" t="s">
        <v>196</v>
      </c>
      <c r="H249" s="65">
        <v>0.0263</v>
      </c>
      <c r="K249" s="69">
        <f>N150/1000*H249</f>
        <v>0.03332736</v>
      </c>
      <c r="L249" s="79"/>
      <c r="M249" s="79"/>
      <c r="N249" s="79"/>
      <c r="O249" s="79"/>
      <c r="P249" s="79"/>
    </row>
    <row r="250" spans="4:16" s="65" customFormat="1" ht="12.75">
      <c r="D250" s="65" t="s">
        <v>198</v>
      </c>
      <c r="H250" s="65">
        <v>0.02893</v>
      </c>
      <c r="K250" s="69">
        <f>N151/1000*H250</f>
        <v>0</v>
      </c>
      <c r="L250" s="79"/>
      <c r="M250" s="79"/>
      <c r="N250" s="79"/>
      <c r="O250" s="79"/>
      <c r="P250" s="79"/>
    </row>
    <row r="251" spans="11:16" s="65" customFormat="1" ht="12.75">
      <c r="K251" s="69"/>
      <c r="L251" s="79"/>
      <c r="M251" s="79"/>
      <c r="N251" s="79"/>
      <c r="O251" s="79"/>
      <c r="P251" s="79"/>
    </row>
    <row r="252" spans="1:16" s="65" customFormat="1" ht="12.75">
      <c r="A252" s="65" t="s">
        <v>228</v>
      </c>
      <c r="B252" s="65" t="s">
        <v>229</v>
      </c>
      <c r="D252" s="65" t="s">
        <v>203</v>
      </c>
      <c r="K252" s="69"/>
      <c r="L252" s="79"/>
      <c r="M252" s="79"/>
      <c r="N252" s="79"/>
      <c r="O252" s="79"/>
      <c r="P252" s="79"/>
    </row>
    <row r="253" spans="2:16" s="65" customFormat="1" ht="12.75">
      <c r="B253" s="65" t="s">
        <v>230</v>
      </c>
      <c r="D253" s="65" t="s">
        <v>209</v>
      </c>
      <c r="K253" s="69"/>
      <c r="L253" s="79"/>
      <c r="M253" s="79"/>
      <c r="N253" s="79"/>
      <c r="O253" s="79"/>
      <c r="P253" s="79"/>
    </row>
    <row r="254" spans="4:16" s="65" customFormat="1" ht="12.75">
      <c r="D254" s="65" t="s">
        <v>191</v>
      </c>
      <c r="K254" s="69"/>
      <c r="L254" s="79"/>
      <c r="M254" s="79"/>
      <c r="N254" s="79"/>
      <c r="O254" s="79"/>
      <c r="P254" s="79"/>
    </row>
    <row r="255" spans="4:16" s="65" customFormat="1" ht="12.75">
      <c r="D255" s="65" t="s">
        <v>158</v>
      </c>
      <c r="H255" s="65">
        <v>0.014679</v>
      </c>
      <c r="I255" s="65">
        <v>0</v>
      </c>
      <c r="K255" s="69">
        <f>N154/1000*H255</f>
        <v>0</v>
      </c>
      <c r="L255" s="79"/>
      <c r="M255" s="79"/>
      <c r="N255" s="79"/>
      <c r="O255" s="79"/>
      <c r="P255" s="79"/>
    </row>
    <row r="256" spans="4:16" s="65" customFormat="1" ht="12.75">
      <c r="D256" s="65" t="s">
        <v>196</v>
      </c>
      <c r="H256" s="65">
        <v>0.01631</v>
      </c>
      <c r="I256" s="65">
        <v>0</v>
      </c>
      <c r="K256" s="69">
        <f>N155/1000*H256</f>
        <v>0</v>
      </c>
      <c r="L256" s="79"/>
      <c r="M256" s="79"/>
      <c r="N256" s="79"/>
      <c r="O256" s="79"/>
      <c r="P256" s="79"/>
    </row>
    <row r="257" spans="4:16" s="65" customFormat="1" ht="12.75">
      <c r="D257" s="65" t="s">
        <v>198</v>
      </c>
      <c r="K257" s="69">
        <f>N156/1000*H257</f>
        <v>0</v>
      </c>
      <c r="L257" s="79"/>
      <c r="M257" s="79"/>
      <c r="N257" s="79"/>
      <c r="O257" s="79"/>
      <c r="P257" s="79"/>
    </row>
    <row r="258" spans="4:16" s="65" customFormat="1" ht="12.75">
      <c r="D258" s="65" t="s">
        <v>211</v>
      </c>
      <c r="K258" s="69"/>
      <c r="L258" s="79"/>
      <c r="M258" s="79"/>
      <c r="N258" s="79"/>
      <c r="O258" s="79"/>
      <c r="P258" s="79"/>
    </row>
    <row r="259" spans="4:16" s="65" customFormat="1" ht="12.75">
      <c r="D259" s="65" t="s">
        <v>191</v>
      </c>
      <c r="K259" s="69"/>
      <c r="L259" s="79"/>
      <c r="M259" s="79"/>
      <c r="N259" s="79"/>
      <c r="O259" s="79"/>
      <c r="P259" s="79"/>
    </row>
    <row r="260" spans="4:16" s="65" customFormat="1" ht="12.75">
      <c r="D260" s="65" t="s">
        <v>192</v>
      </c>
      <c r="K260" s="69"/>
      <c r="L260" s="79"/>
      <c r="M260" s="79"/>
      <c r="N260" s="79"/>
      <c r="O260" s="79"/>
      <c r="P260" s="79"/>
    </row>
    <row r="261" spans="4:16" s="65" customFormat="1" ht="12.75">
      <c r="D261" s="65" t="s">
        <v>158</v>
      </c>
      <c r="K261" s="69">
        <f>N139/1000*H261</f>
        <v>0</v>
      </c>
      <c r="L261" s="79"/>
      <c r="M261" s="79"/>
      <c r="N261" s="79"/>
      <c r="O261" s="79"/>
      <c r="P261" s="79"/>
    </row>
    <row r="262" spans="4:16" s="65" customFormat="1" ht="12.75">
      <c r="D262" s="65" t="s">
        <v>196</v>
      </c>
      <c r="H262" s="65">
        <v>0.01631</v>
      </c>
      <c r="I262" s="65">
        <v>0</v>
      </c>
      <c r="K262" s="69">
        <f>N140/1000*H262</f>
        <v>0.078645189</v>
      </c>
      <c r="L262" s="79"/>
      <c r="M262" s="79"/>
      <c r="N262" s="79"/>
      <c r="O262" s="79"/>
      <c r="P262" s="79"/>
    </row>
    <row r="263" spans="4:16" s="65" customFormat="1" ht="12.75">
      <c r="D263" s="65" t="s">
        <v>198</v>
      </c>
      <c r="H263" s="65">
        <v>0.017941</v>
      </c>
      <c r="I263" s="65">
        <v>0</v>
      </c>
      <c r="K263" s="69">
        <f>N141/1000*H263</f>
        <v>0</v>
      </c>
      <c r="L263" s="79"/>
      <c r="M263" s="79"/>
      <c r="N263" s="79"/>
      <c r="O263" s="79"/>
      <c r="P263" s="79"/>
    </row>
    <row r="264" spans="5:16" s="65" customFormat="1" ht="12.75">
      <c r="E264" s="65" t="s">
        <v>201</v>
      </c>
      <c r="G264" s="65">
        <v>0</v>
      </c>
      <c r="I264" s="65">
        <v>0</v>
      </c>
      <c r="K264" s="69"/>
      <c r="L264" s="79"/>
      <c r="M264" s="79"/>
      <c r="N264" s="79"/>
      <c r="O264" s="79"/>
      <c r="P264" s="79"/>
    </row>
    <row r="265" spans="11:16" s="65" customFormat="1" ht="12.75">
      <c r="K265" s="69"/>
      <c r="L265" s="79"/>
      <c r="M265" s="79"/>
      <c r="N265" s="79"/>
      <c r="O265" s="79"/>
      <c r="P265" s="79"/>
    </row>
    <row r="266" spans="1:16" s="65" customFormat="1" ht="12.75">
      <c r="A266" s="65" t="s">
        <v>231</v>
      </c>
      <c r="B266" s="65" t="s">
        <v>232</v>
      </c>
      <c r="D266" s="65" t="s">
        <v>203</v>
      </c>
      <c r="K266" s="69"/>
      <c r="L266" s="79"/>
      <c r="M266" s="79"/>
      <c r="N266" s="79"/>
      <c r="O266" s="79"/>
      <c r="P266" s="79"/>
    </row>
    <row r="267" spans="2:16" s="65" customFormat="1" ht="12.75">
      <c r="B267" s="65" t="s">
        <v>233</v>
      </c>
      <c r="D267" s="65" t="s">
        <v>211</v>
      </c>
      <c r="K267" s="69"/>
      <c r="L267" s="79"/>
      <c r="M267" s="79"/>
      <c r="N267" s="79"/>
      <c r="O267" s="79"/>
      <c r="P267" s="79"/>
    </row>
    <row r="268" spans="4:16" s="65" customFormat="1" ht="12.75">
      <c r="D268" s="65" t="s">
        <v>209</v>
      </c>
      <c r="K268" s="69"/>
      <c r="L268" s="79"/>
      <c r="M268" s="79"/>
      <c r="N268" s="79"/>
      <c r="O268" s="79"/>
      <c r="P268" s="79"/>
    </row>
    <row r="269" spans="4:16" s="65" customFormat="1" ht="12.75">
      <c r="D269" s="65" t="s">
        <v>234</v>
      </c>
      <c r="K269" s="69"/>
      <c r="L269" s="79"/>
      <c r="M269" s="79"/>
      <c r="N269" s="79"/>
      <c r="O269" s="79"/>
      <c r="P269" s="79"/>
    </row>
    <row r="270" spans="4:16" s="65" customFormat="1" ht="12.75">
      <c r="D270" s="65" t="s">
        <v>235</v>
      </c>
      <c r="F270" s="65" t="s">
        <v>236</v>
      </c>
      <c r="K270" s="69"/>
      <c r="L270" s="79"/>
      <c r="M270" s="79"/>
      <c r="N270" s="79"/>
      <c r="O270" s="79"/>
      <c r="P270" s="79"/>
    </row>
    <row r="271" spans="4:16" s="65" customFormat="1" ht="12.75">
      <c r="D271" s="65" t="s">
        <v>191</v>
      </c>
      <c r="F271" s="65" t="s">
        <v>237</v>
      </c>
      <c r="K271" s="69"/>
      <c r="L271" s="79"/>
      <c r="M271" s="79"/>
      <c r="N271" s="79"/>
      <c r="O271" s="79"/>
      <c r="P271" s="79"/>
    </row>
    <row r="272" spans="4:16" s="65" customFormat="1" ht="12.75">
      <c r="D272" s="65" t="s">
        <v>158</v>
      </c>
      <c r="H272" s="65">
        <v>41000</v>
      </c>
      <c r="I272" s="65">
        <v>0</v>
      </c>
      <c r="K272" s="69">
        <f>N167/H272</f>
        <v>0</v>
      </c>
      <c r="L272" s="79"/>
      <c r="M272" s="79"/>
      <c r="N272" s="79"/>
      <c r="O272" s="79"/>
      <c r="P272" s="79"/>
    </row>
    <row r="273" spans="4:16" s="65" customFormat="1" ht="12.75">
      <c r="D273" s="65" t="s">
        <v>196</v>
      </c>
      <c r="H273" s="65">
        <v>39000</v>
      </c>
      <c r="I273" s="65">
        <v>0</v>
      </c>
      <c r="K273" s="69">
        <f>N168/H273</f>
        <v>0.12363846153846153</v>
      </c>
      <c r="L273" s="79"/>
      <c r="M273" s="79"/>
      <c r="N273" s="79"/>
      <c r="O273" s="79"/>
      <c r="P273" s="79"/>
    </row>
    <row r="274" spans="4:16" s="65" customFormat="1" ht="12.75">
      <c r="D274" s="65" t="s">
        <v>198</v>
      </c>
      <c r="H274" s="65">
        <v>37000</v>
      </c>
      <c r="I274" s="65">
        <v>0</v>
      </c>
      <c r="K274" s="69">
        <f>N169/H274</f>
        <v>0</v>
      </c>
      <c r="L274" s="79"/>
      <c r="M274" s="79"/>
      <c r="N274" s="79"/>
      <c r="O274" s="79"/>
      <c r="P274" s="79"/>
    </row>
    <row r="275" spans="11:16" s="65" customFormat="1" ht="12.75">
      <c r="K275" s="69"/>
      <c r="L275" s="79"/>
      <c r="M275" s="79"/>
      <c r="N275" s="79"/>
      <c r="O275" s="79"/>
      <c r="P275" s="79"/>
    </row>
    <row r="276" spans="4:16" s="65" customFormat="1" ht="12.75">
      <c r="D276" s="65" t="s">
        <v>238</v>
      </c>
      <c r="K276" s="69"/>
      <c r="L276" s="79"/>
      <c r="M276" s="79"/>
      <c r="N276" s="79"/>
      <c r="O276" s="79"/>
      <c r="P276" s="79"/>
    </row>
    <row r="277" spans="4:16" s="65" customFormat="1" ht="12.75">
      <c r="D277" s="65" t="s">
        <v>239</v>
      </c>
      <c r="F277" s="65" t="s">
        <v>240</v>
      </c>
      <c r="K277" s="69"/>
      <c r="L277" s="79"/>
      <c r="M277" s="79"/>
      <c r="N277" s="79"/>
      <c r="O277" s="79"/>
      <c r="P277" s="79"/>
    </row>
    <row r="278" spans="4:16" s="65" customFormat="1" ht="12.75">
      <c r="D278" s="65" t="s">
        <v>191</v>
      </c>
      <c r="K278" s="69"/>
      <c r="L278" s="79"/>
      <c r="M278" s="79"/>
      <c r="N278" s="79"/>
      <c r="O278" s="79"/>
      <c r="P278" s="79"/>
    </row>
    <row r="279" spans="4:16" s="65" customFormat="1" ht="12.75">
      <c r="D279" s="65" t="s">
        <v>158</v>
      </c>
      <c r="H279" s="65">
        <v>450</v>
      </c>
      <c r="I279" s="65">
        <v>0</v>
      </c>
      <c r="K279" s="69">
        <f>N172/H279</f>
        <v>0</v>
      </c>
      <c r="L279" s="79"/>
      <c r="M279" s="79"/>
      <c r="N279" s="79"/>
      <c r="O279" s="79"/>
      <c r="P279" s="79"/>
    </row>
    <row r="280" spans="4:16" s="65" customFormat="1" ht="12.75">
      <c r="D280" s="65" t="s">
        <v>196</v>
      </c>
      <c r="H280" s="65">
        <v>375</v>
      </c>
      <c r="I280" s="65">
        <v>0</v>
      </c>
      <c r="K280" s="69">
        <f>N173/H280</f>
        <v>0.448</v>
      </c>
      <c r="L280" s="79"/>
      <c r="M280" s="79"/>
      <c r="N280" s="79"/>
      <c r="O280" s="79"/>
      <c r="P280" s="79"/>
    </row>
    <row r="281" spans="4:16" s="65" customFormat="1" ht="12.75">
      <c r="D281" s="65" t="s">
        <v>198</v>
      </c>
      <c r="H281" s="65">
        <v>310</v>
      </c>
      <c r="I281" s="65">
        <v>0</v>
      </c>
      <c r="K281" s="69">
        <f>N174/H281</f>
        <v>0</v>
      </c>
      <c r="L281" s="79"/>
      <c r="M281" s="79"/>
      <c r="N281" s="79"/>
      <c r="O281" s="79"/>
      <c r="P281" s="79"/>
    </row>
    <row r="282" spans="5:16" s="65" customFormat="1" ht="12.75">
      <c r="E282" s="65" t="s">
        <v>201</v>
      </c>
      <c r="G282" s="65">
        <v>0</v>
      </c>
      <c r="I282" s="65">
        <v>0</v>
      </c>
      <c r="K282" s="69"/>
      <c r="L282" s="79"/>
      <c r="M282" s="79"/>
      <c r="N282" s="79"/>
      <c r="O282" s="79"/>
      <c r="P282" s="79"/>
    </row>
    <row r="283" spans="11:16" s="65" customFormat="1" ht="12.75">
      <c r="K283" s="69"/>
      <c r="L283" s="79"/>
      <c r="M283" s="79"/>
      <c r="N283" s="79"/>
      <c r="O283" s="79"/>
      <c r="P283" s="79"/>
    </row>
    <row r="284" spans="1:16" s="65" customFormat="1" ht="12.75">
      <c r="A284" s="65" t="s">
        <v>241</v>
      </c>
      <c r="B284" s="65" t="s">
        <v>242</v>
      </c>
      <c r="D284" s="65" t="s">
        <v>243</v>
      </c>
      <c r="K284" s="69"/>
      <c r="L284" s="79"/>
      <c r="M284" s="79"/>
      <c r="N284" s="79"/>
      <c r="O284" s="79"/>
      <c r="P284" s="79"/>
    </row>
    <row r="285" spans="4:16" s="65" customFormat="1" ht="12.75">
      <c r="D285" s="65" t="s">
        <v>244</v>
      </c>
      <c r="F285" s="65" t="s">
        <v>240</v>
      </c>
      <c r="K285" s="69"/>
      <c r="L285" s="79"/>
      <c r="M285" s="79"/>
      <c r="N285" s="79"/>
      <c r="O285" s="79"/>
      <c r="P285" s="79"/>
    </row>
    <row r="286" spans="4:16" s="65" customFormat="1" ht="12.75">
      <c r="D286" s="65" t="s">
        <v>245</v>
      </c>
      <c r="K286" s="69"/>
      <c r="L286" s="79"/>
      <c r="M286" s="79"/>
      <c r="N286" s="79"/>
      <c r="O286" s="79"/>
      <c r="P286" s="79"/>
    </row>
    <row r="287" spans="4:16" s="65" customFormat="1" ht="12.75">
      <c r="D287" s="65" t="s">
        <v>158</v>
      </c>
      <c r="H287" s="65">
        <v>2350</v>
      </c>
      <c r="I287" s="65">
        <v>0</v>
      </c>
      <c r="K287" s="69">
        <f>N172/H287</f>
        <v>0</v>
      </c>
      <c r="L287" s="79"/>
      <c r="M287" s="79"/>
      <c r="N287" s="79"/>
      <c r="O287" s="79"/>
      <c r="P287" s="79"/>
    </row>
    <row r="288" spans="4:16" s="65" customFormat="1" ht="12.75">
      <c r="D288" s="65" t="s">
        <v>196</v>
      </c>
      <c r="H288" s="65">
        <v>2250</v>
      </c>
      <c r="I288" s="65">
        <v>0</v>
      </c>
      <c r="K288" s="69">
        <f>N173/H288</f>
        <v>0.07466666666666667</v>
      </c>
      <c r="L288" s="79"/>
      <c r="M288" s="79"/>
      <c r="N288" s="79"/>
      <c r="O288" s="79"/>
      <c r="P288" s="79"/>
    </row>
    <row r="289" spans="4:16" s="65" customFormat="1" ht="12.75">
      <c r="D289" s="65" t="s">
        <v>198</v>
      </c>
      <c r="H289" s="65">
        <v>2200</v>
      </c>
      <c r="I289" s="65">
        <v>0</v>
      </c>
      <c r="K289" s="69">
        <f>N174/H289</f>
        <v>0</v>
      </c>
      <c r="L289" s="79"/>
      <c r="M289" s="79"/>
      <c r="N289" s="79"/>
      <c r="O289" s="79"/>
      <c r="P289" s="79"/>
    </row>
    <row r="290" spans="5:16" s="65" customFormat="1" ht="12.75">
      <c r="E290" s="65" t="s">
        <v>201</v>
      </c>
      <c r="G290" s="65">
        <v>0</v>
      </c>
      <c r="I290" s="65">
        <v>0</v>
      </c>
      <c r="K290" s="69"/>
      <c r="L290" s="79"/>
      <c r="M290" s="79"/>
      <c r="N290" s="79"/>
      <c r="O290" s="79"/>
      <c r="P290" s="79"/>
    </row>
    <row r="291" spans="11:16" s="65" customFormat="1" ht="12.75">
      <c r="K291" s="69">
        <f>K153+K154+K155+K163+K164+K165+K170+K171+K172+K176+K177+K178+K184+K185+K186+K190+K191+K192+K198+K199+K200+K204+K205+K206+K212+K213+K214+K218+K219+K220+K227+K228+K229+K233+K234+K235+K239+K240+K241+K248+K249+K250+K255+K256+K257+K261+K262+K263+K272+K273+K274+K279+K280+K281+K287+K288+K289</f>
        <v>1.2051469692051282</v>
      </c>
      <c r="L291" s="79"/>
      <c r="M291" s="79"/>
      <c r="N291" s="79"/>
      <c r="O291" s="79"/>
      <c r="P291" s="79"/>
    </row>
    <row r="292" spans="1:16" s="65" customFormat="1" ht="12.75">
      <c r="A292" s="65" t="s">
        <v>246</v>
      </c>
      <c r="B292" s="65" t="s">
        <v>247</v>
      </c>
      <c r="F292" s="65" t="s">
        <v>248</v>
      </c>
      <c r="I292" s="65">
        <v>1</v>
      </c>
      <c r="K292" s="69">
        <f>K291*1.12</f>
        <v>1.3497646055097436</v>
      </c>
      <c r="L292" s="79"/>
      <c r="M292" s="79"/>
      <c r="N292" s="79"/>
      <c r="O292" s="79"/>
      <c r="P292" s="79"/>
    </row>
    <row r="293" spans="2:16" s="65" customFormat="1" ht="12.75">
      <c r="B293" s="65" t="s">
        <v>249</v>
      </c>
      <c r="L293" s="79"/>
      <c r="M293" s="79"/>
      <c r="N293" s="79"/>
      <c r="O293" s="79"/>
      <c r="P293" s="79"/>
    </row>
    <row r="294" spans="2:16" s="65" customFormat="1" ht="12.75">
      <c r="B294" s="65" t="s">
        <v>250</v>
      </c>
      <c r="L294" s="79"/>
      <c r="M294" s="79"/>
      <c r="N294" s="79"/>
      <c r="O294" s="79"/>
      <c r="P294" s="79"/>
    </row>
    <row r="295" spans="12:16" s="65" customFormat="1" ht="12.75">
      <c r="L295" s="79"/>
      <c r="M295" s="79"/>
      <c r="N295" s="79"/>
      <c r="O295" s="79"/>
      <c r="P295" s="79"/>
    </row>
    <row r="296" spans="1:16" s="65" customFormat="1" ht="12.75">
      <c r="A296" s="65" t="s">
        <v>251</v>
      </c>
      <c r="B296" s="65" t="s">
        <v>252</v>
      </c>
      <c r="I296" s="65">
        <v>2</v>
      </c>
      <c r="L296" s="79"/>
      <c r="M296" s="79"/>
      <c r="N296" s="79"/>
      <c r="O296" s="79"/>
      <c r="P296" s="79"/>
    </row>
    <row r="297" spans="1:16" s="65" customFormat="1" ht="12.75">
      <c r="A297" s="65" t="s">
        <v>253</v>
      </c>
      <c r="B297" s="65" t="s">
        <v>254</v>
      </c>
      <c r="I297" s="65">
        <v>1</v>
      </c>
      <c r="L297" s="79"/>
      <c r="M297" s="79"/>
      <c r="N297" s="79"/>
      <c r="O297" s="79"/>
      <c r="P297" s="79"/>
    </row>
    <row r="298" spans="1:16" s="65" customFormat="1" ht="12.75">
      <c r="A298" s="65" t="s">
        <v>255</v>
      </c>
      <c r="B298" s="65" t="s">
        <v>256</v>
      </c>
      <c r="I298" s="65">
        <v>1</v>
      </c>
      <c r="L298" s="79"/>
      <c r="M298" s="79"/>
      <c r="N298" s="79"/>
      <c r="O298" s="79"/>
      <c r="P298" s="79"/>
    </row>
    <row r="299" spans="2:16" s="65" customFormat="1" ht="12.75">
      <c r="B299" s="65" t="s">
        <v>257</v>
      </c>
      <c r="I299" s="65">
        <v>5</v>
      </c>
      <c r="L299" s="79"/>
      <c r="M299" s="79"/>
      <c r="N299" s="79"/>
      <c r="O299" s="79"/>
      <c r="P299" s="79"/>
    </row>
    <row r="300" spans="6:16" s="65" customFormat="1" ht="12.75">
      <c r="F300" s="65" t="s">
        <v>258</v>
      </c>
      <c r="L300" s="79"/>
      <c r="M300" s="79"/>
      <c r="N300" s="79"/>
      <c r="O300" s="79"/>
      <c r="P300" s="79"/>
    </row>
    <row r="301" spans="1:16" s="65" customFormat="1" ht="12.75">
      <c r="A301" s="65" t="s">
        <v>259</v>
      </c>
      <c r="B301" s="65" t="s">
        <v>260</v>
      </c>
      <c r="E301" s="65" t="s">
        <v>261</v>
      </c>
      <c r="H301" s="65">
        <v>1200</v>
      </c>
      <c r="I301" s="78">
        <f>G301/H301</f>
        <v>0</v>
      </c>
      <c r="L301" s="79"/>
      <c r="M301" s="79"/>
      <c r="N301" s="79"/>
      <c r="O301" s="79"/>
      <c r="P301" s="79"/>
    </row>
    <row r="302" spans="5:16" s="65" customFormat="1" ht="12.75">
      <c r="E302" s="65" t="s">
        <v>262</v>
      </c>
      <c r="G302" s="65">
        <v>960</v>
      </c>
      <c r="H302" s="65">
        <v>1650</v>
      </c>
      <c r="I302" s="78">
        <f>G302/H302</f>
        <v>0.5818181818181818</v>
      </c>
      <c r="L302" s="79"/>
      <c r="M302" s="79"/>
      <c r="N302" s="79"/>
      <c r="O302" s="79"/>
      <c r="P302" s="79"/>
    </row>
    <row r="303" spans="5:16" s="65" customFormat="1" ht="12.75">
      <c r="E303" s="65" t="s">
        <v>263</v>
      </c>
      <c r="G303" s="65">
        <v>2900</v>
      </c>
      <c r="H303" s="65">
        <v>9000</v>
      </c>
      <c r="I303" s="78">
        <f>G303/H303</f>
        <v>0.32222222222222224</v>
      </c>
      <c r="L303" s="79"/>
      <c r="M303" s="79"/>
      <c r="N303" s="79"/>
      <c r="O303" s="79"/>
      <c r="P303" s="79"/>
    </row>
    <row r="304" spans="3:16" s="65" customFormat="1" ht="12.75">
      <c r="C304" s="65" t="s">
        <v>201</v>
      </c>
      <c r="G304" s="65">
        <f>G301+G303</f>
        <v>2900</v>
      </c>
      <c r="I304" s="78">
        <f>I301+I302+I303</f>
        <v>0.904040404040404</v>
      </c>
      <c r="L304" s="79"/>
      <c r="M304" s="79"/>
      <c r="N304" s="79"/>
      <c r="O304" s="79"/>
      <c r="P304" s="79"/>
    </row>
    <row r="305" spans="6:16" s="65" customFormat="1" ht="12.75">
      <c r="F305" s="65" t="s">
        <v>258</v>
      </c>
      <c r="I305" s="78"/>
      <c r="L305" s="79"/>
      <c r="M305" s="79"/>
      <c r="N305" s="79"/>
      <c r="O305" s="79"/>
      <c r="P305" s="79"/>
    </row>
    <row r="306" spans="1:16" s="65" customFormat="1" ht="12.75">
      <c r="A306" s="65" t="s">
        <v>264</v>
      </c>
      <c r="B306" s="65" t="s">
        <v>265</v>
      </c>
      <c r="E306" s="65" t="s">
        <v>266</v>
      </c>
      <c r="H306" s="65">
        <v>800</v>
      </c>
      <c r="I306" s="78">
        <f>G306/H306</f>
        <v>0</v>
      </c>
      <c r="L306" s="79"/>
      <c r="M306" s="79"/>
      <c r="N306" s="79"/>
      <c r="O306" s="79"/>
      <c r="P306" s="79"/>
    </row>
    <row r="307" spans="2:16" s="65" customFormat="1" ht="12.75">
      <c r="B307" s="65" t="s">
        <v>267</v>
      </c>
      <c r="E307" s="65" t="s">
        <v>268</v>
      </c>
      <c r="G307" s="65">
        <v>980</v>
      </c>
      <c r="H307" s="65">
        <v>960</v>
      </c>
      <c r="I307" s="78">
        <f>G307/H307</f>
        <v>1.0208333333333333</v>
      </c>
      <c r="L307" s="79"/>
      <c r="M307" s="79"/>
      <c r="N307" s="79"/>
      <c r="O307" s="79"/>
      <c r="P307" s="79"/>
    </row>
    <row r="308" spans="5:16" s="65" customFormat="1" ht="12.75">
      <c r="E308" s="65" t="s">
        <v>269</v>
      </c>
      <c r="I308" s="78"/>
      <c r="L308" s="79"/>
      <c r="M308" s="79"/>
      <c r="N308" s="79"/>
      <c r="O308" s="79"/>
      <c r="P308" s="79"/>
    </row>
    <row r="309" spans="3:16" s="65" customFormat="1" ht="12.75">
      <c r="C309" s="65" t="s">
        <v>201</v>
      </c>
      <c r="G309" s="65">
        <f>G306+G307+G308</f>
        <v>980</v>
      </c>
      <c r="I309" s="78">
        <f>I306+I307</f>
        <v>1.0208333333333333</v>
      </c>
      <c r="L309" s="79"/>
      <c r="M309" s="79"/>
      <c r="N309" s="79"/>
      <c r="O309" s="79"/>
      <c r="P309" s="79"/>
    </row>
    <row r="310" spans="6:16" s="65" customFormat="1" ht="12.75">
      <c r="F310" s="65" t="s">
        <v>270</v>
      </c>
      <c r="I310" s="78"/>
      <c r="L310" s="79"/>
      <c r="M310" s="79"/>
      <c r="N310" s="79"/>
      <c r="O310" s="79"/>
      <c r="P310" s="79"/>
    </row>
    <row r="311" spans="1:16" s="65" customFormat="1" ht="12.75">
      <c r="A311" s="65" t="s">
        <v>271</v>
      </c>
      <c r="B311" s="65" t="s">
        <v>272</v>
      </c>
      <c r="E311" s="65" t="s">
        <v>273</v>
      </c>
      <c r="H311" s="65">
        <v>500</v>
      </c>
      <c r="I311" s="78">
        <f>G311/H311</f>
        <v>0</v>
      </c>
      <c r="L311" s="79"/>
      <c r="M311" s="79"/>
      <c r="N311" s="79"/>
      <c r="O311" s="79"/>
      <c r="P311" s="79"/>
    </row>
    <row r="312" spans="5:16" s="65" customFormat="1" ht="12.75">
      <c r="E312" s="65" t="s">
        <v>274</v>
      </c>
      <c r="G312" s="65">
        <v>288</v>
      </c>
      <c r="H312" s="65">
        <v>700</v>
      </c>
      <c r="I312" s="78">
        <f>G312/H312</f>
        <v>0.4114285714285714</v>
      </c>
      <c r="L312" s="79"/>
      <c r="M312" s="79"/>
      <c r="N312" s="79"/>
      <c r="O312" s="79"/>
      <c r="P312" s="79"/>
    </row>
    <row r="313" spans="5:16" s="65" customFormat="1" ht="12.75">
      <c r="E313" s="65" t="s">
        <v>275</v>
      </c>
      <c r="I313" s="78"/>
      <c r="L313" s="79"/>
      <c r="M313" s="79"/>
      <c r="N313" s="79"/>
      <c r="O313" s="79"/>
      <c r="P313" s="79"/>
    </row>
    <row r="314" spans="3:16" s="65" customFormat="1" ht="12.75">
      <c r="C314" s="65" t="s">
        <v>201</v>
      </c>
      <c r="G314" s="65">
        <v>0</v>
      </c>
      <c r="I314" s="78">
        <f>I311+I312</f>
        <v>0.4114285714285714</v>
      </c>
      <c r="L314" s="79"/>
      <c r="M314" s="79"/>
      <c r="N314" s="79"/>
      <c r="O314" s="79"/>
      <c r="P314" s="79"/>
    </row>
    <row r="315" spans="1:16" s="65" customFormat="1" ht="12.75">
      <c r="A315" s="65" t="s">
        <v>276</v>
      </c>
      <c r="B315" s="65" t="s">
        <v>277</v>
      </c>
      <c r="L315" s="79"/>
      <c r="M315" s="79"/>
      <c r="N315" s="79"/>
      <c r="O315" s="79"/>
      <c r="P315" s="79"/>
    </row>
    <row r="316" spans="2:16" s="65" customFormat="1" ht="12.75">
      <c r="B316" s="65" t="s">
        <v>278</v>
      </c>
      <c r="I316" s="65">
        <v>2</v>
      </c>
      <c r="L316" s="79"/>
      <c r="M316" s="79"/>
      <c r="N316" s="79"/>
      <c r="O316" s="79"/>
      <c r="P316" s="79"/>
    </row>
  </sheetData>
  <sheetProtection/>
  <mergeCells count="52">
    <mergeCell ref="A113:G113"/>
    <mergeCell ref="A117:E117"/>
    <mergeCell ref="A119:G119"/>
    <mergeCell ref="A123:D123"/>
    <mergeCell ref="C104:I104"/>
    <mergeCell ref="C80:D80"/>
    <mergeCell ref="A83:F83"/>
    <mergeCell ref="A84:G84"/>
    <mergeCell ref="A85:D85"/>
    <mergeCell ref="E85:G85"/>
    <mergeCell ref="A86:E86"/>
    <mergeCell ref="A64:E64"/>
    <mergeCell ref="A65:G65"/>
    <mergeCell ref="A66:G66"/>
    <mergeCell ref="A72:D72"/>
    <mergeCell ref="A73:F73"/>
    <mergeCell ref="A76:E76"/>
    <mergeCell ref="A50:F50"/>
    <mergeCell ref="A51:F51"/>
    <mergeCell ref="A52:G52"/>
    <mergeCell ref="A53:G53"/>
    <mergeCell ref="A59:F59"/>
    <mergeCell ref="A63:G63"/>
    <mergeCell ref="A41:G41"/>
    <mergeCell ref="A42:G42"/>
    <mergeCell ref="A43:G43"/>
    <mergeCell ref="A44:G44"/>
    <mergeCell ref="A45:F45"/>
    <mergeCell ref="A46:F46"/>
    <mergeCell ref="A35:G35"/>
    <mergeCell ref="A36:G36"/>
    <mergeCell ref="A37:G37"/>
    <mergeCell ref="A38:G38"/>
    <mergeCell ref="A39:D39"/>
    <mergeCell ref="A40:G40"/>
    <mergeCell ref="A28:G28"/>
    <mergeCell ref="A29:G29"/>
    <mergeCell ref="A30:G30"/>
    <mergeCell ref="A31:G31"/>
    <mergeCell ref="A32:E32"/>
    <mergeCell ref="A34:G34"/>
    <mergeCell ref="A19:F19"/>
    <mergeCell ref="A20:F20"/>
    <mergeCell ref="A21:F21"/>
    <mergeCell ref="A25:F25"/>
    <mergeCell ref="A26:G26"/>
    <mergeCell ref="A27:G27"/>
    <mergeCell ref="A1:K1"/>
    <mergeCell ref="A2:K2"/>
    <mergeCell ref="A4:K5"/>
    <mergeCell ref="A6:K6"/>
    <mergeCell ref="A15:G15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N88:N89" evalError="1"/>
  </ignoredError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R31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4.0039062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8" width="9.140625" style="65" customWidth="1"/>
    <col min="19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954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65">
        <f>11.18*1.042</f>
        <v>11.64956</v>
      </c>
    </row>
    <row r="6" spans="1:13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65">
        <f>11.65*0.04</f>
        <v>0.466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8" s="9" customFormat="1" ht="15.75">
      <c r="A11" s="11"/>
      <c r="B11" s="11"/>
      <c r="C11" s="12"/>
      <c r="D11" s="11"/>
      <c r="K11" s="5"/>
      <c r="L11" s="67" t="e">
        <f>#REF!</f>
        <v>#REF!</v>
      </c>
      <c r="M11" s="67"/>
      <c r="N11" s="67"/>
      <c r="O11" s="67"/>
      <c r="P11" s="67"/>
      <c r="Q11" s="67"/>
      <c r="R11" s="67"/>
    </row>
    <row r="12" spans="1:18" s="9" customFormat="1" ht="15.75">
      <c r="A12" s="11" t="s">
        <v>69</v>
      </c>
      <c r="B12" s="11"/>
      <c r="C12" s="12"/>
      <c r="D12" s="11"/>
      <c r="E12" s="9">
        <v>50636.4</v>
      </c>
      <c r="F12" s="9" t="s">
        <v>70</v>
      </c>
      <c r="H12" s="13"/>
      <c r="I12" s="13"/>
      <c r="K12" s="13"/>
      <c r="L12" s="92" t="e">
        <f>(K17+K31+K47+K56+K68+K75+#REF!+#REF!)</f>
        <v>#REF!</v>
      </c>
      <c r="M12" s="67"/>
      <c r="N12" s="67"/>
      <c r="O12" s="67"/>
      <c r="P12" s="67"/>
      <c r="Q12" s="67"/>
      <c r="R12" s="67"/>
    </row>
    <row r="13" spans="1:18" s="9" customFormat="1" ht="15.75">
      <c r="A13" s="11"/>
      <c r="B13" s="11"/>
      <c r="C13" s="12"/>
      <c r="D13" s="11"/>
      <c r="H13" s="13"/>
      <c r="I13" s="13"/>
      <c r="K13" s="13"/>
      <c r="L13" s="92"/>
      <c r="M13" s="67"/>
      <c r="N13" s="67"/>
      <c r="O13" s="67"/>
      <c r="P13" s="67"/>
      <c r="Q13" s="67"/>
      <c r="R13" s="67"/>
    </row>
    <row r="14" spans="3:18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  <c r="Q14" s="67"/>
      <c r="R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K17+K31+K47+K56+K68+K75+K85</f>
        <v>54918.94397530506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H19+H20+H21+H23+H25+H26+H27+H28+H29</f>
        <v>9440.80816984318</v>
      </c>
      <c r="M17" s="65" t="s">
        <v>76</v>
      </c>
      <c r="O17" s="78">
        <f>I304</f>
        <v>0.9424242424242424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78">
        <f>I309</f>
        <v>1.0208333333333333</v>
      </c>
    </row>
    <row r="19" spans="1:15" ht="12.75">
      <c r="A19" s="113" t="s">
        <v>898</v>
      </c>
      <c r="B19" s="113"/>
      <c r="C19" s="113"/>
      <c r="D19" s="113"/>
      <c r="E19" s="113"/>
      <c r="F19" s="113"/>
      <c r="G19" s="22"/>
      <c r="H19" s="23">
        <f>O17*2600*1.75*1.07</f>
        <v>4588.192424242424</v>
      </c>
      <c r="I19" s="22"/>
      <c r="J19" s="22"/>
      <c r="K19" s="23"/>
      <c r="M19" s="65" t="s">
        <v>80</v>
      </c>
      <c r="O19" s="78">
        <f>I314</f>
        <v>0</v>
      </c>
    </row>
    <row r="20" spans="1:15" ht="12.75" hidden="1">
      <c r="A20" s="113"/>
      <c r="B20" s="113"/>
      <c r="C20" s="113"/>
      <c r="D20" s="113"/>
      <c r="E20" s="113"/>
      <c r="F20" s="113"/>
      <c r="G20" s="22"/>
      <c r="H20" s="23"/>
      <c r="I20" s="22"/>
      <c r="J20" s="22"/>
      <c r="K20" s="23"/>
      <c r="M20" s="65" t="s">
        <v>314</v>
      </c>
      <c r="O20" s="65">
        <v>4346.7</v>
      </c>
    </row>
    <row r="21" spans="1:15" ht="12.75">
      <c r="A21" s="113" t="s">
        <v>925</v>
      </c>
      <c r="B21" s="113"/>
      <c r="C21" s="113"/>
      <c r="D21" s="113"/>
      <c r="E21" s="113"/>
      <c r="F21" s="113"/>
      <c r="G21" s="22"/>
      <c r="H21" s="23">
        <f>O18*2203*1.3*1.07</f>
        <v>3128.2141041666664</v>
      </c>
      <c r="I21" s="22"/>
      <c r="J21" s="22"/>
      <c r="K21" s="23"/>
      <c r="M21" s="65" t="s">
        <v>83</v>
      </c>
      <c r="O21" s="65">
        <v>339</v>
      </c>
    </row>
    <row r="22" spans="1:13" ht="12.75" hidden="1">
      <c r="A22" s="22"/>
      <c r="B22" s="22"/>
      <c r="C22" s="22"/>
      <c r="D22" s="22"/>
      <c r="E22" s="22"/>
      <c r="F22" s="22"/>
      <c r="G22" s="22"/>
      <c r="H22" s="23"/>
      <c r="I22" s="22"/>
      <c r="J22" s="22"/>
      <c r="M22" s="65" t="s">
        <v>316</v>
      </c>
    </row>
    <row r="23" spans="1:16" ht="12.75">
      <c r="A23" s="23">
        <f>H19+H20+H21</f>
        <v>7716.40652840909</v>
      </c>
      <c r="B23" s="22" t="s">
        <v>84</v>
      </c>
      <c r="C23" s="22"/>
      <c r="D23" s="22"/>
      <c r="E23" s="22"/>
      <c r="F23" s="22"/>
      <c r="G23" s="22"/>
      <c r="H23" s="23">
        <f>(H19+H20+H21)*14.2%</f>
        <v>1095.7297270340907</v>
      </c>
      <c r="I23" s="22"/>
      <c r="J23" s="22">
        <v>781740.1</v>
      </c>
      <c r="K23" s="25"/>
      <c r="L23" s="70"/>
      <c r="M23" s="65" t="s">
        <v>85</v>
      </c>
      <c r="P23" s="65">
        <f>O23/2</f>
        <v>0</v>
      </c>
    </row>
    <row r="24" spans="1:16" ht="12.75">
      <c r="A24" s="22" t="s">
        <v>86</v>
      </c>
      <c r="B24" s="22"/>
      <c r="C24" s="22"/>
      <c r="D24" s="22"/>
      <c r="E24" s="22"/>
      <c r="F24" s="22"/>
      <c r="G24" s="22"/>
      <c r="H24" s="23"/>
      <c r="I24" s="22"/>
      <c r="J24" s="22">
        <v>113966.82</v>
      </c>
      <c r="K24" s="23"/>
      <c r="N24" s="65">
        <v>9</v>
      </c>
      <c r="O24" s="65">
        <v>4</v>
      </c>
      <c r="P24" s="65">
        <f>O24/2</f>
        <v>2</v>
      </c>
    </row>
    <row r="25" spans="1:16" ht="12.75">
      <c r="A25" s="113" t="s">
        <v>926</v>
      </c>
      <c r="B25" s="113"/>
      <c r="C25" s="113"/>
      <c r="D25" s="113"/>
      <c r="E25" s="113"/>
      <c r="F25" s="113"/>
      <c r="G25" s="22"/>
      <c r="H25" s="23">
        <f>0.057*O20</f>
        <v>247.7619</v>
      </c>
      <c r="I25" s="23"/>
      <c r="J25" s="22"/>
      <c r="K25" s="23"/>
      <c r="N25" s="65">
        <v>10</v>
      </c>
      <c r="P25" s="65">
        <f>O25/2</f>
        <v>0</v>
      </c>
    </row>
    <row r="26" spans="1:14" ht="12.75">
      <c r="A26" s="113" t="s">
        <v>927</v>
      </c>
      <c r="B26" s="113"/>
      <c r="C26" s="113"/>
      <c r="D26" s="113"/>
      <c r="E26" s="113"/>
      <c r="F26" s="113"/>
      <c r="G26" s="113"/>
      <c r="H26" s="23">
        <f>0.0085*O20</f>
        <v>36.94695</v>
      </c>
      <c r="I26" s="23"/>
      <c r="J26" s="22"/>
      <c r="K26" s="23"/>
      <c r="N26" s="65">
        <v>16</v>
      </c>
    </row>
    <row r="27" spans="1:13" ht="12.75">
      <c r="A27" s="113" t="s">
        <v>928</v>
      </c>
      <c r="B27" s="113"/>
      <c r="C27" s="113"/>
      <c r="D27" s="113"/>
      <c r="E27" s="113"/>
      <c r="F27" s="113"/>
      <c r="G27" s="113"/>
      <c r="H27" s="23">
        <f>O20*0.005</f>
        <v>21.7335</v>
      </c>
      <c r="I27" s="22"/>
      <c r="J27" s="22"/>
      <c r="K27" s="23"/>
      <c r="M27" s="65" t="s">
        <v>90</v>
      </c>
    </row>
    <row r="28" spans="1:15" ht="12.75">
      <c r="A28" s="113" t="s">
        <v>929</v>
      </c>
      <c r="B28" s="113"/>
      <c r="C28" s="113"/>
      <c r="D28" s="113"/>
      <c r="E28" s="113"/>
      <c r="F28" s="113"/>
      <c r="G28" s="113"/>
      <c r="H28" s="23">
        <f>O20*0.017</f>
        <v>73.8939</v>
      </c>
      <c r="I28" s="22"/>
      <c r="J28" s="22">
        <v>13606.82</v>
      </c>
      <c r="K28" s="23"/>
      <c r="M28" s="65" t="s">
        <v>92</v>
      </c>
      <c r="O28" s="65">
        <v>57</v>
      </c>
    </row>
    <row r="29" spans="1:15" ht="12.75">
      <c r="A29" s="113" t="s">
        <v>930</v>
      </c>
      <c r="B29" s="113"/>
      <c r="C29" s="113"/>
      <c r="D29" s="113"/>
      <c r="E29" s="113"/>
      <c r="F29" s="113"/>
      <c r="G29" s="113"/>
      <c r="H29" s="23">
        <f>0.054*O20*1.058</f>
        <v>248.33566439999998</v>
      </c>
      <c r="I29" s="22"/>
      <c r="J29" s="22"/>
      <c r="K29" s="23"/>
      <c r="M29" s="65" t="s">
        <v>94</v>
      </c>
      <c r="O29" s="65">
        <v>2391</v>
      </c>
    </row>
    <row r="30" spans="1:11" ht="12.75">
      <c r="A30" s="24"/>
      <c r="B30" s="24"/>
      <c r="C30" s="24"/>
      <c r="D30" s="24"/>
      <c r="E30" s="24"/>
      <c r="F30" s="24"/>
      <c r="G30" s="24"/>
      <c r="H30" s="23"/>
      <c r="I30" s="22"/>
      <c r="J30" s="22"/>
      <c r="K30" s="23"/>
    </row>
    <row r="31" spans="1:15" ht="15.75">
      <c r="A31" s="110" t="s">
        <v>95</v>
      </c>
      <c r="B31" s="110"/>
      <c r="C31" s="110"/>
      <c r="D31" s="110"/>
      <c r="E31" s="110"/>
      <c r="F31" s="20"/>
      <c r="G31" s="20"/>
      <c r="H31" s="27"/>
      <c r="I31" s="20"/>
      <c r="J31" s="20"/>
      <c r="K31" s="21">
        <f>H33+H34+H35+H36+H37+H38+H39+H40+H41+H42+H43+H44+H45</f>
        <v>13537.064339999999</v>
      </c>
      <c r="M31" s="65" t="s">
        <v>96</v>
      </c>
      <c r="O31" s="69">
        <f>K292</f>
        <v>1.3639184980184618</v>
      </c>
    </row>
    <row r="32" spans="1:11" ht="12.75">
      <c r="A32" s="22"/>
      <c r="B32" s="22" t="s">
        <v>64</v>
      </c>
      <c r="C32" s="22"/>
      <c r="D32" s="22"/>
      <c r="E32" s="22"/>
      <c r="F32" s="22"/>
      <c r="G32" s="22"/>
      <c r="H32" s="28"/>
      <c r="I32" s="22"/>
      <c r="J32" s="22"/>
      <c r="K32" s="29"/>
    </row>
    <row r="33" spans="1:11" ht="12.75">
      <c r="A33" s="113" t="s">
        <v>931</v>
      </c>
      <c r="B33" s="113"/>
      <c r="C33" s="113"/>
      <c r="D33" s="113"/>
      <c r="E33" s="113"/>
      <c r="F33" s="113"/>
      <c r="G33" s="113"/>
      <c r="H33" s="28">
        <f>(O21*1.5)/12*90.3*1.058</f>
        <v>4048.3973250000004</v>
      </c>
      <c r="I33" s="22"/>
      <c r="J33" s="22"/>
      <c r="K33" s="29"/>
    </row>
    <row r="34" spans="1:12" ht="12.75">
      <c r="A34" s="113" t="s">
        <v>932</v>
      </c>
      <c r="B34" s="113"/>
      <c r="C34" s="113"/>
      <c r="D34" s="113"/>
      <c r="E34" s="113"/>
      <c r="F34" s="113"/>
      <c r="G34" s="113"/>
      <c r="H34" s="28">
        <f>O21*1.5*33.1/12*1.058</f>
        <v>1483.9640250000002</v>
      </c>
      <c r="I34" s="22"/>
      <c r="J34" s="22"/>
      <c r="K34" s="29"/>
      <c r="L34" s="65">
        <f>1.16*O20</f>
        <v>5042.172</v>
      </c>
    </row>
    <row r="35" spans="1:11" ht="12.75">
      <c r="A35" s="113" t="s">
        <v>933</v>
      </c>
      <c r="B35" s="113"/>
      <c r="C35" s="113"/>
      <c r="D35" s="113"/>
      <c r="E35" s="113"/>
      <c r="F35" s="113"/>
      <c r="G35" s="113"/>
      <c r="H35" s="28">
        <f>O29*2.48</f>
        <v>5929.68</v>
      </c>
      <c r="I35" s="22"/>
      <c r="J35" s="22"/>
      <c r="K35" s="29"/>
    </row>
    <row r="36" spans="1:11" ht="12.75">
      <c r="A36" s="113" t="s">
        <v>934</v>
      </c>
      <c r="B36" s="113"/>
      <c r="C36" s="113"/>
      <c r="D36" s="113"/>
      <c r="E36" s="113"/>
      <c r="F36" s="113"/>
      <c r="G36" s="113"/>
      <c r="H36" s="28">
        <f>O20*0.028</f>
        <v>121.7076</v>
      </c>
      <c r="I36" s="22"/>
      <c r="J36" s="22"/>
      <c r="K36" s="29"/>
    </row>
    <row r="37" spans="1:11" ht="12.75">
      <c r="A37" s="113" t="s">
        <v>935</v>
      </c>
      <c r="B37" s="113"/>
      <c r="C37" s="113"/>
      <c r="D37" s="113"/>
      <c r="E37" s="113"/>
      <c r="F37" s="113"/>
      <c r="G37" s="113"/>
      <c r="H37" s="28">
        <f>O20*0.0027</f>
        <v>11.73609</v>
      </c>
      <c r="I37" s="22"/>
      <c r="J37" s="22"/>
      <c r="K37" s="29"/>
    </row>
    <row r="38" spans="1:11" ht="12.75">
      <c r="A38" s="113" t="s">
        <v>936</v>
      </c>
      <c r="B38" s="113"/>
      <c r="C38" s="113"/>
      <c r="D38" s="113"/>
      <c r="E38" s="24"/>
      <c r="F38" s="24"/>
      <c r="G38" s="24"/>
      <c r="H38" s="28">
        <f>O20*0.216</f>
        <v>938.8871999999999</v>
      </c>
      <c r="I38" s="22"/>
      <c r="J38" s="22"/>
      <c r="K38" s="29"/>
    </row>
    <row r="39" spans="1:11" ht="12.75">
      <c r="A39" s="113" t="s">
        <v>911</v>
      </c>
      <c r="B39" s="113"/>
      <c r="C39" s="113"/>
      <c r="D39" s="113"/>
      <c r="E39" s="113"/>
      <c r="F39" s="113"/>
      <c r="G39" s="113"/>
      <c r="H39" s="28">
        <f>O28*4.81/12</f>
        <v>22.847499999999997</v>
      </c>
      <c r="I39" s="22"/>
      <c r="J39" s="22"/>
      <c r="K39" s="29"/>
    </row>
    <row r="40" spans="1:11" ht="12.75">
      <c r="A40" s="113" t="s">
        <v>937</v>
      </c>
      <c r="B40" s="113"/>
      <c r="C40" s="113"/>
      <c r="D40" s="113"/>
      <c r="E40" s="113"/>
      <c r="F40" s="113"/>
      <c r="G40" s="113"/>
      <c r="H40" s="28">
        <f>80*171/12/3</f>
        <v>380</v>
      </c>
      <c r="I40" s="22"/>
      <c r="J40" s="22"/>
      <c r="K40" s="29"/>
    </row>
    <row r="41" spans="1:11" ht="12.75">
      <c r="A41" s="113" t="s">
        <v>938</v>
      </c>
      <c r="B41" s="113"/>
      <c r="C41" s="113"/>
      <c r="D41" s="113"/>
      <c r="E41" s="113"/>
      <c r="F41" s="113"/>
      <c r="G41" s="113"/>
      <c r="H41" s="28">
        <f>O20*0.027</f>
        <v>117.36089999999999</v>
      </c>
      <c r="I41" s="22"/>
      <c r="J41" s="32"/>
      <c r="K41" s="29"/>
    </row>
    <row r="42" spans="1:11" ht="12.75">
      <c r="A42" s="113" t="s">
        <v>939</v>
      </c>
      <c r="B42" s="113"/>
      <c r="C42" s="113"/>
      <c r="D42" s="113"/>
      <c r="E42" s="113"/>
      <c r="F42" s="113"/>
      <c r="G42" s="113"/>
      <c r="H42" s="28">
        <f>O20*0.022</f>
        <v>95.6274</v>
      </c>
      <c r="I42" s="22"/>
      <c r="J42" s="22"/>
      <c r="K42" s="29"/>
    </row>
    <row r="43" spans="1:11" ht="12.75">
      <c r="A43" s="113" t="s">
        <v>940</v>
      </c>
      <c r="B43" s="113"/>
      <c r="C43" s="113"/>
      <c r="D43" s="113"/>
      <c r="E43" s="113"/>
      <c r="F43" s="113"/>
      <c r="G43" s="113"/>
      <c r="H43" s="28">
        <f>O20*0.022</f>
        <v>95.6274</v>
      </c>
      <c r="I43" s="22"/>
      <c r="J43" s="22"/>
      <c r="K43" s="29"/>
    </row>
    <row r="44" spans="1:11" ht="12.75">
      <c r="A44" s="113" t="s">
        <v>941</v>
      </c>
      <c r="B44" s="113"/>
      <c r="C44" s="113"/>
      <c r="D44" s="113"/>
      <c r="E44" s="113"/>
      <c r="F44" s="113"/>
      <c r="G44" s="24"/>
      <c r="H44" s="28">
        <f>O20*0.053</f>
        <v>230.37509999999997</v>
      </c>
      <c r="I44" s="22"/>
      <c r="J44" s="22"/>
      <c r="K44" s="29"/>
    </row>
    <row r="45" spans="1:11" ht="12.75">
      <c r="A45" s="113" t="s">
        <v>942</v>
      </c>
      <c r="B45" s="113"/>
      <c r="C45" s="113"/>
      <c r="D45" s="113"/>
      <c r="E45" s="113"/>
      <c r="F45" s="113"/>
      <c r="G45" s="24"/>
      <c r="H45" s="28">
        <f>O20*0.014</f>
        <v>60.8538</v>
      </c>
      <c r="I45" s="22"/>
      <c r="J45" s="22"/>
      <c r="K45" s="29"/>
    </row>
    <row r="46" spans="1:11" ht="12.75">
      <c r="A46" s="24"/>
      <c r="B46" s="24"/>
      <c r="C46" s="24"/>
      <c r="D46" s="24"/>
      <c r="E46" s="24"/>
      <c r="F46" s="24"/>
      <c r="G46" s="24"/>
      <c r="H46" s="28"/>
      <c r="I46" s="22"/>
      <c r="J46" s="22"/>
      <c r="K46" s="29"/>
    </row>
    <row r="47" spans="1:11" ht="15.75">
      <c r="A47" s="86" t="s">
        <v>148</v>
      </c>
      <c r="B47" s="86"/>
      <c r="C47" s="86"/>
      <c r="D47" s="86"/>
      <c r="E47" s="86"/>
      <c r="F47" s="86"/>
      <c r="G47" s="86"/>
      <c r="H47" s="87"/>
      <c r="I47" s="88"/>
      <c r="J47" s="88">
        <v>9460.05</v>
      </c>
      <c r="K47" s="89">
        <f>H49+H50+H51+H52+H53</f>
        <v>9255.40625490196</v>
      </c>
    </row>
    <row r="48" spans="1:11" ht="12.75">
      <c r="A48" s="24"/>
      <c r="B48" s="24" t="s">
        <v>64</v>
      </c>
      <c r="C48" s="24"/>
      <c r="D48" s="24"/>
      <c r="E48" s="24"/>
      <c r="F48" s="24"/>
      <c r="G48" s="24"/>
      <c r="H48" s="28"/>
      <c r="I48" s="22"/>
      <c r="J48" s="22"/>
      <c r="K48" s="29"/>
    </row>
    <row r="49" spans="1:13" ht="12.75">
      <c r="A49" s="113" t="s">
        <v>943</v>
      </c>
      <c r="B49" s="113"/>
      <c r="C49" s="113"/>
      <c r="D49" s="113"/>
      <c r="E49" s="113"/>
      <c r="F49" s="113"/>
      <c r="G49" s="24"/>
      <c r="H49" s="28">
        <f>O20*2.07</f>
        <v>8997.668999999998</v>
      </c>
      <c r="I49" s="22"/>
      <c r="J49" s="22"/>
      <c r="K49" s="29"/>
      <c r="M49" s="65">
        <v>18024</v>
      </c>
    </row>
    <row r="50" spans="1:11" ht="12.75">
      <c r="A50" s="113" t="s">
        <v>748</v>
      </c>
      <c r="B50" s="113"/>
      <c r="C50" s="113"/>
      <c r="D50" s="113"/>
      <c r="E50" s="113"/>
      <c r="F50" s="113"/>
      <c r="G50" s="24"/>
      <c r="H50" s="28">
        <f>1380*1/12</f>
        <v>115</v>
      </c>
      <c r="I50" s="22"/>
      <c r="J50" s="22"/>
      <c r="K50" s="29"/>
    </row>
    <row r="51" spans="1:11" ht="12.75">
      <c r="A51" s="113" t="s">
        <v>749</v>
      </c>
      <c r="B51" s="113"/>
      <c r="C51" s="113"/>
      <c r="D51" s="113"/>
      <c r="E51" s="113"/>
      <c r="F51" s="113"/>
      <c r="G51" s="113"/>
      <c r="H51" s="28">
        <f>1567*1/12</f>
        <v>130.58333333333334</v>
      </c>
      <c r="I51" s="22"/>
      <c r="J51" s="22"/>
      <c r="K51" s="29"/>
    </row>
    <row r="52" spans="1:11" ht="12.75">
      <c r="A52" s="113" t="s">
        <v>750</v>
      </c>
      <c r="B52" s="113"/>
      <c r="C52" s="113"/>
      <c r="D52" s="113"/>
      <c r="E52" s="113"/>
      <c r="F52" s="113"/>
      <c r="G52" s="113"/>
      <c r="H52" s="28">
        <f>56.4*1/2/12</f>
        <v>2.35</v>
      </c>
      <c r="I52" s="22"/>
      <c r="J52" s="22"/>
      <c r="K52" s="29"/>
    </row>
    <row r="53" spans="1:11" ht="12.75">
      <c r="A53" s="24" t="s">
        <v>340</v>
      </c>
      <c r="B53" s="24"/>
      <c r="C53" s="24"/>
      <c r="D53" s="24"/>
      <c r="E53" s="24"/>
      <c r="F53" s="24"/>
      <c r="G53" s="24"/>
      <c r="H53" s="28">
        <f>10000/85*1/12</f>
        <v>9.80392156862745</v>
      </c>
      <c r="I53" s="22"/>
      <c r="J53" s="22"/>
      <c r="K53" s="29"/>
    </row>
    <row r="54" spans="1:11" ht="12.75">
      <c r="A54" s="24"/>
      <c r="B54" s="24"/>
      <c r="C54" s="24"/>
      <c r="D54" s="24"/>
      <c r="E54" s="24"/>
      <c r="F54" s="24"/>
      <c r="G54" s="24"/>
      <c r="H54" s="28"/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3" ht="15.75">
      <c r="A56" s="20" t="s">
        <v>111</v>
      </c>
      <c r="B56" s="20"/>
      <c r="C56" s="20"/>
      <c r="D56" s="20"/>
      <c r="E56" s="20"/>
      <c r="F56" s="20"/>
      <c r="G56" s="20"/>
      <c r="H56" s="27"/>
      <c r="I56" s="20"/>
      <c r="J56" s="20"/>
      <c r="K56" s="21">
        <f>H59+H61+H62+H63+H64+H65+H66</f>
        <v>14977.227430559922</v>
      </c>
      <c r="M56" s="71">
        <f>K56/309084*O20</f>
        <v>210.62725496115883</v>
      </c>
    </row>
    <row r="57" spans="1:11" ht="12.75">
      <c r="A57" s="22"/>
      <c r="B57" s="22" t="s">
        <v>64</v>
      </c>
      <c r="C57" s="22"/>
      <c r="D57" s="22"/>
      <c r="E57" s="22"/>
      <c r="F57" s="22"/>
      <c r="G57" s="22"/>
      <c r="H57" s="28"/>
      <c r="I57" s="22"/>
      <c r="J57" s="22"/>
      <c r="K57" s="29"/>
    </row>
    <row r="58" spans="1:11" ht="12.75">
      <c r="A58" s="33" t="s">
        <v>112</v>
      </c>
      <c r="B58" s="33"/>
      <c r="C58" s="33"/>
      <c r="D58" s="33"/>
      <c r="E58" s="33"/>
      <c r="F58" s="33"/>
      <c r="G58" s="33"/>
      <c r="H58" s="34"/>
      <c r="I58" s="33"/>
      <c r="J58" s="33"/>
      <c r="K58" s="35"/>
    </row>
    <row r="59" spans="1:13" ht="12.75">
      <c r="A59" s="111" t="s">
        <v>944</v>
      </c>
      <c r="B59" s="111"/>
      <c r="C59" s="111"/>
      <c r="D59" s="111"/>
      <c r="E59" s="111"/>
      <c r="F59" s="111"/>
      <c r="G59" s="36"/>
      <c r="H59" s="37">
        <f>K292*24.48*165.1*1.5*1.07</f>
        <v>8847.527943835308</v>
      </c>
      <c r="I59" s="38"/>
      <c r="J59" s="38"/>
      <c r="K59" s="35"/>
      <c r="M59" s="69">
        <f>K292</f>
        <v>1.3639184980184618</v>
      </c>
    </row>
    <row r="60" spans="1:11" ht="12.75">
      <c r="A60" s="33" t="s">
        <v>114</v>
      </c>
      <c r="B60" s="33"/>
      <c r="C60" s="33"/>
      <c r="D60" s="33"/>
      <c r="E60" s="33"/>
      <c r="F60" s="33"/>
      <c r="G60" s="33"/>
      <c r="H60" s="34"/>
      <c r="I60" s="33"/>
      <c r="J60" s="33"/>
      <c r="K60" s="35"/>
    </row>
    <row r="61" spans="1:11" ht="12.75">
      <c r="A61" s="39">
        <f>H59</f>
        <v>8847.527943835308</v>
      </c>
      <c r="B61" s="36" t="s">
        <v>115</v>
      </c>
      <c r="C61" s="36"/>
      <c r="D61" s="36"/>
      <c r="E61" s="36"/>
      <c r="F61" s="36"/>
      <c r="G61" s="38"/>
      <c r="H61" s="37">
        <f>H59*14.2%</f>
        <v>1256.3489680246137</v>
      </c>
      <c r="I61" s="38"/>
      <c r="J61" s="38"/>
      <c r="K61" s="35"/>
    </row>
    <row r="62" spans="1:11" ht="12.75">
      <c r="A62" s="30" t="s">
        <v>945</v>
      </c>
      <c r="B62" s="30"/>
      <c r="C62" s="30"/>
      <c r="D62" s="30"/>
      <c r="E62" s="30"/>
      <c r="F62" s="40"/>
      <c r="G62" s="40"/>
      <c r="H62" s="37">
        <f>0.04*O20</f>
        <v>173.868</v>
      </c>
      <c r="I62" s="38"/>
      <c r="J62" s="38"/>
      <c r="K62" s="35"/>
    </row>
    <row r="63" spans="1:11" ht="12.75">
      <c r="A63" s="108" t="s">
        <v>946</v>
      </c>
      <c r="B63" s="108"/>
      <c r="C63" s="108"/>
      <c r="D63" s="108"/>
      <c r="E63" s="108"/>
      <c r="F63" s="108"/>
      <c r="G63" s="108"/>
      <c r="H63" s="37">
        <f>0.97*O20</f>
        <v>4216.299</v>
      </c>
      <c r="I63" s="38"/>
      <c r="J63" s="38"/>
      <c r="K63" s="35"/>
    </row>
    <row r="64" spans="1:11" ht="12.75">
      <c r="A64" s="108" t="s">
        <v>947</v>
      </c>
      <c r="B64" s="108"/>
      <c r="C64" s="108"/>
      <c r="D64" s="108"/>
      <c r="E64" s="108"/>
      <c r="F64" s="30"/>
      <c r="G64" s="30"/>
      <c r="H64" s="37">
        <f>0.0037*O20</f>
        <v>16.08279</v>
      </c>
      <c r="I64" s="38"/>
      <c r="J64" s="38"/>
      <c r="K64" s="35"/>
    </row>
    <row r="65" spans="1:12" ht="12.75">
      <c r="A65" s="108" t="s">
        <v>948</v>
      </c>
      <c r="B65" s="108"/>
      <c r="C65" s="108"/>
      <c r="D65" s="108"/>
      <c r="E65" s="108"/>
      <c r="F65" s="108"/>
      <c r="G65" s="108"/>
      <c r="H65" s="37">
        <f>O20*0.082</f>
        <v>356.4294</v>
      </c>
      <c r="I65" s="38"/>
      <c r="J65" s="38"/>
      <c r="K65" s="35"/>
      <c r="L65" s="69"/>
    </row>
    <row r="66" spans="1:13" ht="12.75">
      <c r="A66" s="108" t="s">
        <v>949</v>
      </c>
      <c r="B66" s="108"/>
      <c r="C66" s="108"/>
      <c r="D66" s="108"/>
      <c r="E66" s="108"/>
      <c r="F66" s="108"/>
      <c r="G66" s="108"/>
      <c r="H66" s="31">
        <f>O20*0.023*1.107</f>
        <v>110.67132869999999</v>
      </c>
      <c r="I66" s="33"/>
      <c r="J66" s="33"/>
      <c r="K66" s="35"/>
      <c r="M66" s="65">
        <f>36646.37/309083*O20</f>
        <v>515.3656994367209</v>
      </c>
    </row>
    <row r="67" spans="1:11" ht="12.75">
      <c r="A67" s="38"/>
      <c r="B67" s="38"/>
      <c r="C67" s="38"/>
      <c r="D67" s="40"/>
      <c r="E67" s="40"/>
      <c r="F67" s="40"/>
      <c r="G67" s="38"/>
      <c r="H67" s="37"/>
      <c r="I67" s="40"/>
      <c r="J67" s="40"/>
      <c r="K67" s="122"/>
    </row>
    <row r="68" spans="1:13" ht="15.75">
      <c r="A68" s="110" t="s">
        <v>121</v>
      </c>
      <c r="B68" s="110"/>
      <c r="C68" s="110"/>
      <c r="D68" s="110"/>
      <c r="E68" s="42"/>
      <c r="F68" s="42"/>
      <c r="G68" s="20"/>
      <c r="H68" s="27"/>
      <c r="I68" s="20"/>
      <c r="J68" s="20"/>
      <c r="K68" s="21">
        <f>H70+H71+H72+H73</f>
        <v>3533.43243</v>
      </c>
      <c r="M68" s="72">
        <f>51932.37/301083*O20</f>
        <v>749.7415419635116</v>
      </c>
    </row>
    <row r="69" spans="1:11" ht="12.75">
      <c r="A69" s="111" t="s">
        <v>122</v>
      </c>
      <c r="B69" s="111"/>
      <c r="C69" s="111"/>
      <c r="D69" s="111"/>
      <c r="E69" s="111"/>
      <c r="F69" s="111"/>
      <c r="G69" s="36"/>
      <c r="H69" s="37"/>
      <c r="I69" s="36"/>
      <c r="J69" s="36"/>
      <c r="K69" s="35"/>
    </row>
    <row r="70" spans="1:11" ht="12.75">
      <c r="A70" s="36" t="s">
        <v>950</v>
      </c>
      <c r="B70" s="36"/>
      <c r="C70" s="36"/>
      <c r="D70" s="36"/>
      <c r="E70" s="36"/>
      <c r="F70" s="36"/>
      <c r="G70" s="36"/>
      <c r="H70" s="37">
        <f>0.2227*O20</f>
        <v>968.01009</v>
      </c>
      <c r="I70" s="36"/>
      <c r="J70" s="36"/>
      <c r="K70" s="35"/>
    </row>
    <row r="71" spans="1:11" ht="12.75">
      <c r="A71" s="30" t="s">
        <v>951</v>
      </c>
      <c r="B71" s="43"/>
      <c r="C71" s="30"/>
      <c r="D71" s="30"/>
      <c r="E71" s="44"/>
      <c r="F71" s="38"/>
      <c r="G71" s="38"/>
      <c r="H71" s="37">
        <f>0.0257*O20</f>
        <v>111.71019</v>
      </c>
      <c r="I71" s="38"/>
      <c r="J71" s="38"/>
      <c r="K71" s="35"/>
    </row>
    <row r="72" spans="1:11" ht="12.75">
      <c r="A72" s="111" t="s">
        <v>952</v>
      </c>
      <c r="B72" s="111"/>
      <c r="C72" s="111"/>
      <c r="D72" s="111"/>
      <c r="E72" s="111"/>
      <c r="F72" s="38"/>
      <c r="G72" s="38"/>
      <c r="H72" s="37">
        <f>0.0945*O20</f>
        <v>410.76315</v>
      </c>
      <c r="I72" s="38"/>
      <c r="J72" s="38"/>
      <c r="K72" s="35"/>
    </row>
    <row r="73" spans="1:11" ht="12.75">
      <c r="A73" s="36" t="s">
        <v>953</v>
      </c>
      <c r="B73" s="36"/>
      <c r="C73" s="36"/>
      <c r="D73" s="36"/>
      <c r="E73" s="36"/>
      <c r="F73" s="38"/>
      <c r="G73" s="38"/>
      <c r="H73" s="37">
        <f>0.47*O20</f>
        <v>2042.9489999999998</v>
      </c>
      <c r="I73" s="38"/>
      <c r="J73" s="38"/>
      <c r="K73" s="45"/>
    </row>
    <row r="74" spans="1:11" ht="12.75">
      <c r="A74" s="30"/>
      <c r="B74" s="30"/>
      <c r="C74" s="30"/>
      <c r="D74" s="30"/>
      <c r="E74" s="30"/>
      <c r="F74" s="30"/>
      <c r="G74" s="30"/>
      <c r="H74" s="37"/>
      <c r="I74" s="38"/>
      <c r="J74" s="38"/>
      <c r="K74" s="35"/>
    </row>
    <row r="75" spans="1:13" ht="15.75">
      <c r="A75" s="26" t="s">
        <v>127</v>
      </c>
      <c r="B75" s="26"/>
      <c r="C75" s="26"/>
      <c r="D75" s="26"/>
      <c r="E75" s="26"/>
      <c r="F75" s="26"/>
      <c r="G75" s="26"/>
      <c r="H75" s="46"/>
      <c r="I75" s="20"/>
      <c r="J75" s="20"/>
      <c r="K75" s="21">
        <f>O20*0.94</f>
        <v>4085.8979999999997</v>
      </c>
      <c r="M75" s="71">
        <f>231179.9/309083*O20</f>
        <v>3251.1321273897297</v>
      </c>
    </row>
    <row r="76" spans="1:11" ht="15.75">
      <c r="A76" s="47"/>
      <c r="B76" s="47"/>
      <c r="C76" s="112" t="s">
        <v>64</v>
      </c>
      <c r="D76" s="112"/>
      <c r="E76" s="47"/>
      <c r="F76" s="47"/>
      <c r="G76" s="47"/>
      <c r="H76" s="48"/>
      <c r="I76" s="47"/>
      <c r="J76" s="47"/>
      <c r="K76" s="49"/>
    </row>
    <row r="77" spans="1:11" ht="12.75">
      <c r="A77" s="30" t="s">
        <v>128</v>
      </c>
      <c r="B77" s="30"/>
      <c r="C77" s="30"/>
      <c r="D77" s="30"/>
      <c r="E77" s="30"/>
      <c r="F77" s="30"/>
      <c r="G77" s="30"/>
      <c r="H77" s="37"/>
      <c r="I77" s="38"/>
      <c r="J77" s="38"/>
      <c r="K77" s="35"/>
    </row>
    <row r="78" spans="1:11" ht="12.75">
      <c r="A78" s="30" t="s">
        <v>129</v>
      </c>
      <c r="B78" s="43"/>
      <c r="C78" s="30"/>
      <c r="D78" s="30"/>
      <c r="E78" s="30"/>
      <c r="F78" s="44"/>
      <c r="G78" s="44"/>
      <c r="H78" s="37"/>
      <c r="I78" s="38"/>
      <c r="J78" s="38"/>
      <c r="K78" s="35"/>
    </row>
    <row r="79" spans="1:11" ht="12.75">
      <c r="A79" s="108" t="s">
        <v>130</v>
      </c>
      <c r="B79" s="108"/>
      <c r="C79" s="108"/>
      <c r="D79" s="108"/>
      <c r="E79" s="108"/>
      <c r="F79" s="108"/>
      <c r="G79" s="44"/>
      <c r="H79" s="37"/>
      <c r="I79" s="38"/>
      <c r="J79" s="38"/>
      <c r="K79" s="35"/>
    </row>
    <row r="80" spans="1:11" ht="12.75">
      <c r="A80" s="108" t="s">
        <v>131</v>
      </c>
      <c r="B80" s="108"/>
      <c r="C80" s="108"/>
      <c r="D80" s="108"/>
      <c r="E80" s="108"/>
      <c r="F80" s="108"/>
      <c r="G80" s="108"/>
      <c r="H80" s="37"/>
      <c r="I80" s="38"/>
      <c r="J80" s="38"/>
      <c r="K80" s="35"/>
    </row>
    <row r="81" spans="1:11" ht="12.75">
      <c r="A81" s="108" t="s">
        <v>132</v>
      </c>
      <c r="B81" s="108"/>
      <c r="C81" s="108"/>
      <c r="D81" s="108"/>
      <c r="E81" s="109"/>
      <c r="F81" s="109"/>
      <c r="G81" s="109"/>
      <c r="H81" s="37"/>
      <c r="I81" s="38"/>
      <c r="J81" s="38"/>
      <c r="K81" s="35"/>
    </row>
    <row r="82" spans="1:11" ht="12.75">
      <c r="A82" s="108" t="s">
        <v>133</v>
      </c>
      <c r="B82" s="108"/>
      <c r="C82" s="108"/>
      <c r="D82" s="108"/>
      <c r="E82" s="108"/>
      <c r="F82" s="44"/>
      <c r="G82" s="44"/>
      <c r="H82" s="37"/>
      <c r="I82" s="38"/>
      <c r="J82" s="38"/>
      <c r="K82" s="35"/>
    </row>
    <row r="83" spans="1:14" ht="12.75">
      <c r="A83" s="44" t="s">
        <v>134</v>
      </c>
      <c r="B83" s="44"/>
      <c r="C83" s="44"/>
      <c r="D83" s="44"/>
      <c r="E83" s="44"/>
      <c r="F83" s="44"/>
      <c r="G83" s="44"/>
      <c r="H83" s="37"/>
      <c r="I83" s="38"/>
      <c r="J83" s="38"/>
      <c r="K83" s="35"/>
      <c r="N83" s="69">
        <f>K17+K31+K47+K56+K68+K75</f>
        <v>54829.83662530506</v>
      </c>
    </row>
    <row r="84" spans="1:14" ht="12.75">
      <c r="A84" s="22"/>
      <c r="B84" s="22"/>
      <c r="C84" s="22"/>
      <c r="D84" s="22"/>
      <c r="E84" s="22"/>
      <c r="F84" s="22"/>
      <c r="G84" s="22"/>
      <c r="H84" s="28"/>
      <c r="I84" s="22"/>
      <c r="J84" s="22"/>
      <c r="K84" s="29"/>
      <c r="N84" s="65" t="e">
        <f>#REF!*97%</f>
        <v>#REF!</v>
      </c>
    </row>
    <row r="85" spans="1:14" ht="15.75">
      <c r="A85" s="20" t="s">
        <v>135</v>
      </c>
      <c r="B85" s="20"/>
      <c r="C85" s="20"/>
      <c r="D85" s="20"/>
      <c r="E85" s="20"/>
      <c r="F85" s="51"/>
      <c r="G85" s="51"/>
      <c r="H85" s="52"/>
      <c r="I85" s="51"/>
      <c r="J85" s="51"/>
      <c r="K85" s="21">
        <f>0.0205*O20</f>
        <v>89.10735</v>
      </c>
      <c r="L85" s="72" t="e">
        <f>#REF!-(K17+K31+K47+K56+K68+#REF!+#REF!+K75)</f>
        <v>#REF!</v>
      </c>
      <c r="M85" s="72"/>
      <c r="N85" s="65" t="e">
        <f>(N84-N83)*0.15</f>
        <v>#REF!</v>
      </c>
    </row>
    <row r="86" spans="1:13" ht="15.75">
      <c r="A86" s="54"/>
      <c r="B86" s="54"/>
      <c r="C86" s="54"/>
      <c r="D86" s="54"/>
      <c r="E86" s="54"/>
      <c r="F86" s="53"/>
      <c r="G86" s="53"/>
      <c r="H86" s="55"/>
      <c r="I86" s="53"/>
      <c r="J86" s="53"/>
      <c r="K86" s="56"/>
      <c r="L86" s="72"/>
      <c r="M86" s="72"/>
    </row>
    <row r="87" spans="1:11" ht="15.75">
      <c r="A87" s="57" t="s">
        <v>537</v>
      </c>
      <c r="B87" s="57"/>
      <c r="C87" s="57"/>
      <c r="D87" s="58"/>
      <c r="E87" s="58"/>
      <c r="F87" s="58"/>
      <c r="G87" s="58"/>
      <c r="H87" s="59"/>
      <c r="I87" s="58"/>
      <c r="J87" s="58"/>
      <c r="K87" s="60">
        <f>K15*6%</f>
        <v>3295.1366385183037</v>
      </c>
    </row>
    <row r="88" spans="1:11" ht="15.75">
      <c r="A88" s="57"/>
      <c r="B88" s="57"/>
      <c r="C88" s="57"/>
      <c r="D88" s="58"/>
      <c r="E88" s="58"/>
      <c r="F88" s="58"/>
      <c r="G88" s="58"/>
      <c r="H88" s="59"/>
      <c r="I88" s="58"/>
      <c r="J88" s="58"/>
      <c r="K88" s="60"/>
    </row>
    <row r="89" spans="1:11" ht="15.75">
      <c r="A89" s="63" t="s">
        <v>137</v>
      </c>
      <c r="B89" s="63"/>
      <c r="C89" s="63"/>
      <c r="D89" s="63"/>
      <c r="E89" s="63"/>
      <c r="F89" s="63"/>
      <c r="G89" s="63"/>
      <c r="H89" s="63"/>
      <c r="I89" s="63"/>
      <c r="J89" s="63"/>
      <c r="K89" s="64">
        <f>K87+K15</f>
        <v>58214.08061382337</v>
      </c>
    </row>
    <row r="90" spans="1:11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1:11" ht="15.75">
      <c r="A91" s="63" t="s">
        <v>138</v>
      </c>
      <c r="B91" s="63"/>
      <c r="C91" s="63"/>
      <c r="D91" s="63"/>
      <c r="E91" s="63"/>
      <c r="F91" s="63"/>
      <c r="G91" s="63"/>
      <c r="H91" s="63"/>
      <c r="I91" s="63"/>
      <c r="J91" s="63"/>
      <c r="K91" s="64">
        <f>K89/O20</f>
        <v>13.392707252357736</v>
      </c>
    </row>
    <row r="92" spans="1:11" ht="15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1" ht="15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4"/>
    </row>
    <row r="94" spans="1:11" ht="15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4"/>
    </row>
    <row r="96" spans="1:11" ht="15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ht="15.75" customHeight="1"/>
    <row r="98" ht="15.75" customHeight="1"/>
    <row r="101" ht="16.5" customHeight="1"/>
    <row r="104" spans="3:9" s="65" customFormat="1" ht="15.75">
      <c r="C104" s="106" t="s">
        <v>139</v>
      </c>
      <c r="D104" s="107"/>
      <c r="E104" s="107"/>
      <c r="F104" s="107"/>
      <c r="G104" s="107"/>
      <c r="H104" s="107"/>
      <c r="I104" s="107"/>
    </row>
    <row r="105" spans="3:9" s="65" customFormat="1" ht="15.75">
      <c r="C105" s="74" t="s">
        <v>140</v>
      </c>
      <c r="D105" s="74" t="s">
        <v>141</v>
      </c>
      <c r="E105" s="74"/>
      <c r="F105" s="74"/>
      <c r="G105" s="75"/>
      <c r="H105" s="75"/>
      <c r="I105" s="75"/>
    </row>
    <row r="106" s="65" customFormat="1" ht="12.75"/>
    <row r="107" s="65" customFormat="1" ht="12.75">
      <c r="E107" s="65" t="s">
        <v>142</v>
      </c>
    </row>
    <row r="108" spans="5:8" s="65" customFormat="1" ht="12.75">
      <c r="E108" s="65" t="s">
        <v>143</v>
      </c>
      <c r="H108" s="65">
        <v>1200</v>
      </c>
    </row>
    <row r="109" spans="5:8" s="65" customFormat="1" ht="12.75">
      <c r="E109" s="65" t="s">
        <v>144</v>
      </c>
      <c r="H109" s="65">
        <v>1324</v>
      </c>
    </row>
    <row r="110" spans="5:8" s="65" customFormat="1" ht="12.75">
      <c r="E110" s="65" t="s">
        <v>145</v>
      </c>
      <c r="H110" s="65">
        <v>332</v>
      </c>
    </row>
    <row r="111" spans="5:8" s="65" customFormat="1" ht="12.75">
      <c r="E111" s="65" t="s">
        <v>146</v>
      </c>
      <c r="H111" s="65">
        <v>5351.8</v>
      </c>
    </row>
    <row r="112" s="65" customFormat="1" ht="12.75"/>
    <row r="113" spans="1:11" s="65" customFormat="1" ht="15.75">
      <c r="A113" s="105" t="s">
        <v>72</v>
      </c>
      <c r="B113" s="105"/>
      <c r="C113" s="105"/>
      <c r="D113" s="105"/>
      <c r="E113" s="105"/>
      <c r="F113" s="105"/>
      <c r="G113" s="105"/>
      <c r="H113" s="76" t="e">
        <f>H115+H117+H119+H121+H123+H125+H127</f>
        <v>#REF!</v>
      </c>
      <c r="I113" s="77" t="s">
        <v>70</v>
      </c>
      <c r="K113" s="78" t="e">
        <f>H113-20000</f>
        <v>#REF!</v>
      </c>
    </row>
    <row r="114" spans="1:7" s="65" customFormat="1" ht="12.75">
      <c r="A114" s="79"/>
      <c r="B114" s="79"/>
      <c r="C114" s="79"/>
      <c r="D114" s="79"/>
      <c r="E114" s="79"/>
      <c r="F114" s="79"/>
      <c r="G114" s="79"/>
    </row>
    <row r="115" spans="1:8" s="65" customFormat="1" ht="15.75">
      <c r="A115" s="80" t="s">
        <v>147</v>
      </c>
      <c r="B115" s="80"/>
      <c r="C115" s="80"/>
      <c r="D115" s="80"/>
      <c r="E115" s="80"/>
      <c r="F115" s="80"/>
      <c r="G115" s="80"/>
      <c r="H115" s="78">
        <f>K17</f>
        <v>9440.80816984318</v>
      </c>
    </row>
    <row r="116" spans="1:8" s="65" customFormat="1" ht="12.75">
      <c r="A116" s="79"/>
      <c r="B116" s="79"/>
      <c r="C116" s="79"/>
      <c r="D116" s="79"/>
      <c r="E116" s="79"/>
      <c r="F116" s="79"/>
      <c r="G116" s="79"/>
      <c r="H116" s="78"/>
    </row>
    <row r="117" spans="1:8" s="65" customFormat="1" ht="15.75">
      <c r="A117" s="105" t="s">
        <v>95</v>
      </c>
      <c r="B117" s="105"/>
      <c r="C117" s="105"/>
      <c r="D117" s="105"/>
      <c r="E117" s="105"/>
      <c r="F117" s="80"/>
      <c r="G117" s="80"/>
      <c r="H117" s="78">
        <f>K31</f>
        <v>13537.064339999999</v>
      </c>
    </row>
    <row r="118" spans="1:8" s="65" customFormat="1" ht="12.75">
      <c r="A118" s="79"/>
      <c r="B118" s="79"/>
      <c r="C118" s="79"/>
      <c r="D118" s="79"/>
      <c r="E118" s="79"/>
      <c r="F118" s="79"/>
      <c r="G118" s="79"/>
      <c r="H118" s="78"/>
    </row>
    <row r="119" spans="1:8" s="65" customFormat="1" ht="15.75">
      <c r="A119" s="105" t="s">
        <v>148</v>
      </c>
      <c r="B119" s="105"/>
      <c r="C119" s="105"/>
      <c r="D119" s="105"/>
      <c r="E119" s="105"/>
      <c r="F119" s="105"/>
      <c r="G119" s="105"/>
      <c r="H119" s="81" t="e">
        <f>#REF!</f>
        <v>#REF!</v>
      </c>
    </row>
    <row r="120" spans="1:8" s="65" customFormat="1" ht="12.75">
      <c r="A120" s="79"/>
      <c r="B120" s="79"/>
      <c r="C120" s="79"/>
      <c r="D120" s="79"/>
      <c r="E120" s="79"/>
      <c r="F120" s="79"/>
      <c r="G120" s="79"/>
      <c r="H120" s="82"/>
    </row>
    <row r="121" spans="1:8" s="65" customFormat="1" ht="15.75">
      <c r="A121" s="80" t="s">
        <v>111</v>
      </c>
      <c r="B121" s="80"/>
      <c r="C121" s="80"/>
      <c r="D121" s="80"/>
      <c r="E121" s="80"/>
      <c r="F121" s="80"/>
      <c r="G121" s="80"/>
      <c r="H121" s="82">
        <f>M56</f>
        <v>210.62725496115883</v>
      </c>
    </row>
    <row r="122" spans="1:8" s="65" customFormat="1" ht="12.75">
      <c r="A122" s="79"/>
      <c r="B122" s="79"/>
      <c r="C122" s="79"/>
      <c r="D122" s="79"/>
      <c r="E122" s="79"/>
      <c r="F122" s="79"/>
      <c r="G122" s="79"/>
      <c r="H122" s="82"/>
    </row>
    <row r="123" spans="1:8" s="65" customFormat="1" ht="15.75">
      <c r="A123" s="105" t="s">
        <v>149</v>
      </c>
      <c r="B123" s="105"/>
      <c r="C123" s="105"/>
      <c r="D123" s="105"/>
      <c r="E123" s="80"/>
      <c r="F123" s="80"/>
      <c r="G123" s="80"/>
      <c r="H123" s="81">
        <f>M68</f>
        <v>749.7415419635116</v>
      </c>
    </row>
    <row r="124" spans="1:8" s="65" customFormat="1" ht="12.75">
      <c r="A124" s="79"/>
      <c r="B124" s="79"/>
      <c r="C124" s="79"/>
      <c r="D124" s="79"/>
      <c r="E124" s="79"/>
      <c r="F124" s="79"/>
      <c r="G124" s="79"/>
      <c r="H124" s="82"/>
    </row>
    <row r="125" spans="1:8" s="65" customFormat="1" ht="15.75">
      <c r="A125" s="83" t="s">
        <v>127</v>
      </c>
      <c r="B125" s="83"/>
      <c r="C125" s="83"/>
      <c r="D125" s="83"/>
      <c r="E125" s="83"/>
      <c r="F125" s="83"/>
      <c r="G125" s="83"/>
      <c r="H125" s="81">
        <f>M75</f>
        <v>3251.1321273897297</v>
      </c>
    </row>
    <row r="126" spans="1:8" s="65" customFormat="1" ht="12.75">
      <c r="A126" s="79"/>
      <c r="B126" s="79"/>
      <c r="C126" s="79"/>
      <c r="D126" s="79"/>
      <c r="E126" s="79"/>
      <c r="F126" s="79"/>
      <c r="G126" s="79"/>
      <c r="H126" s="82"/>
    </row>
    <row r="127" spans="1:8" s="65" customFormat="1" ht="15.75">
      <c r="A127" s="80" t="s">
        <v>150</v>
      </c>
      <c r="B127" s="80"/>
      <c r="C127" s="80"/>
      <c r="D127" s="80"/>
      <c r="E127" s="80"/>
      <c r="F127" s="84"/>
      <c r="G127" s="84"/>
      <c r="H127" s="81" t="e">
        <f>L85</f>
        <v>#REF!</v>
      </c>
    </row>
    <row r="128" s="65" customFormat="1" ht="12.75"/>
    <row r="129" s="65" customFormat="1" ht="12.75"/>
    <row r="130" s="65" customFormat="1" ht="12.75">
      <c r="H130" s="65" t="s">
        <v>151</v>
      </c>
    </row>
    <row r="131" s="65" customFormat="1" ht="12.75">
      <c r="H131" s="65" t="s">
        <v>146</v>
      </c>
    </row>
    <row r="132" s="65" customFormat="1" ht="12.75">
      <c r="H132" s="65" t="s">
        <v>152</v>
      </c>
    </row>
    <row r="133" s="65" customFormat="1" ht="12.75"/>
    <row r="134" s="65" customFormat="1" ht="12.75"/>
    <row r="135" s="65" customFormat="1" ht="12.75">
      <c r="F135" s="65" t="s">
        <v>153</v>
      </c>
    </row>
    <row r="136" s="65" customFormat="1" ht="12.75">
      <c r="D136" s="65" t="s">
        <v>154</v>
      </c>
    </row>
    <row r="137" s="65" customFormat="1" ht="12.75">
      <c r="D137" s="65" t="s">
        <v>155</v>
      </c>
    </row>
    <row r="138" spans="6:13" s="65" customFormat="1" ht="12.75">
      <c r="F138" s="65" t="s">
        <v>156</v>
      </c>
      <c r="M138" s="65" t="s">
        <v>157</v>
      </c>
    </row>
    <row r="139" s="65" customFormat="1" ht="12.75">
      <c r="M139" s="65" t="s">
        <v>158</v>
      </c>
    </row>
    <row r="140" spans="1:14" s="65" customFormat="1" ht="12.75">
      <c r="A140" s="65" t="s">
        <v>159</v>
      </c>
      <c r="B140" s="65" t="s">
        <v>160</v>
      </c>
      <c r="D140" s="65" t="s">
        <v>161</v>
      </c>
      <c r="F140" s="65" t="s">
        <v>162</v>
      </c>
      <c r="G140" s="65" t="s">
        <v>163</v>
      </c>
      <c r="H140" s="65" t="s">
        <v>164</v>
      </c>
      <c r="J140" s="65" t="s">
        <v>165</v>
      </c>
      <c r="M140" s="73" t="s">
        <v>166</v>
      </c>
      <c r="N140" s="65">
        <v>4860.6</v>
      </c>
    </row>
    <row r="141" spans="1:13" s="65" customFormat="1" ht="12.75">
      <c r="A141" s="65" t="s">
        <v>167</v>
      </c>
      <c r="B141" s="65" t="s">
        <v>168</v>
      </c>
      <c r="D141" s="65" t="s">
        <v>169</v>
      </c>
      <c r="F141" s="65" t="s">
        <v>170</v>
      </c>
      <c r="G141" s="65" t="s">
        <v>171</v>
      </c>
      <c r="H141" s="65" t="s">
        <v>172</v>
      </c>
      <c r="J141" s="65" t="s">
        <v>173</v>
      </c>
      <c r="M141" s="65" t="s">
        <v>174</v>
      </c>
    </row>
    <row r="142" spans="8:9" s="65" customFormat="1" ht="12.75">
      <c r="H142" s="65" t="s">
        <v>175</v>
      </c>
      <c r="I142" s="65" t="s">
        <v>176</v>
      </c>
    </row>
    <row r="143" spans="8:13" s="65" customFormat="1" ht="12.75">
      <c r="H143" s="65" t="s">
        <v>170</v>
      </c>
      <c r="I143" s="65" t="s">
        <v>177</v>
      </c>
      <c r="M143" s="65" t="s">
        <v>178</v>
      </c>
    </row>
    <row r="144" spans="9:13" s="65" customFormat="1" ht="12.75">
      <c r="I144" s="65" t="s">
        <v>179</v>
      </c>
      <c r="M144" s="65" t="s">
        <v>158</v>
      </c>
    </row>
    <row r="145" spans="13:14" s="65" customFormat="1" ht="12.75">
      <c r="M145" s="73" t="s">
        <v>166</v>
      </c>
      <c r="N145" s="65">
        <v>733.4</v>
      </c>
    </row>
    <row r="146" spans="1:13" s="65" customFormat="1" ht="12.75">
      <c r="A146" s="65" t="s">
        <v>180</v>
      </c>
      <c r="B146" s="65" t="s">
        <v>181</v>
      </c>
      <c r="D146" s="65" t="s">
        <v>182</v>
      </c>
      <c r="M146" s="65" t="s">
        <v>174</v>
      </c>
    </row>
    <row r="147" spans="2:4" s="65" customFormat="1" ht="12.75">
      <c r="B147" s="65" t="s">
        <v>183</v>
      </c>
      <c r="D147" s="65" t="s">
        <v>184</v>
      </c>
    </row>
    <row r="148" spans="2:13" s="65" customFormat="1" ht="12.75">
      <c r="B148" s="65" t="s">
        <v>185</v>
      </c>
      <c r="D148" s="65" t="s">
        <v>186</v>
      </c>
      <c r="M148" s="65" t="s">
        <v>187</v>
      </c>
    </row>
    <row r="149" spans="2:13" s="65" customFormat="1" ht="12.75">
      <c r="B149" s="65" t="s">
        <v>188</v>
      </c>
      <c r="D149" s="65" t="s">
        <v>189</v>
      </c>
      <c r="M149" s="65" t="s">
        <v>158</v>
      </c>
    </row>
    <row r="150" spans="2:14" s="65" customFormat="1" ht="12.75">
      <c r="B150" s="65" t="s">
        <v>190</v>
      </c>
      <c r="M150" s="73" t="s">
        <v>166</v>
      </c>
      <c r="N150" s="65">
        <v>1246.9</v>
      </c>
    </row>
    <row r="151" spans="4:13" s="65" customFormat="1" ht="12.75">
      <c r="D151" s="65" t="s">
        <v>191</v>
      </c>
      <c r="M151" s="65" t="s">
        <v>174</v>
      </c>
    </row>
    <row r="152" spans="4:6" s="65" customFormat="1" ht="12.75">
      <c r="D152" s="65" t="s">
        <v>192</v>
      </c>
      <c r="F152" s="65" t="s">
        <v>193</v>
      </c>
    </row>
    <row r="153" spans="4:13" s="65" customFormat="1" ht="12.75">
      <c r="D153" s="65" t="s">
        <v>158</v>
      </c>
      <c r="F153" s="65" t="s">
        <v>194</v>
      </c>
      <c r="H153" s="65">
        <v>0.0687</v>
      </c>
      <c r="I153" s="65">
        <v>0</v>
      </c>
      <c r="K153" s="65">
        <f>N144/1000*H153</f>
        <v>0</v>
      </c>
      <c r="M153" s="65" t="s">
        <v>195</v>
      </c>
    </row>
    <row r="154" spans="4:13" s="65" customFormat="1" ht="12.75">
      <c r="D154" s="65" t="s">
        <v>196</v>
      </c>
      <c r="F154" s="65" t="s">
        <v>197</v>
      </c>
      <c r="H154" s="65">
        <v>0.0763</v>
      </c>
      <c r="I154" s="65">
        <v>0</v>
      </c>
      <c r="K154" s="65">
        <f>N145/1000*H154</f>
        <v>0.05595842</v>
      </c>
      <c r="M154" s="65" t="s">
        <v>158</v>
      </c>
    </row>
    <row r="155" spans="4:13" s="65" customFormat="1" ht="12.75">
      <c r="D155" s="65" t="s">
        <v>198</v>
      </c>
      <c r="F155" s="65" t="s">
        <v>199</v>
      </c>
      <c r="H155" s="65">
        <v>0.0839</v>
      </c>
      <c r="I155" s="65">
        <v>0</v>
      </c>
      <c r="K155" s="69">
        <f>N146/1000*H155</f>
        <v>0</v>
      </c>
      <c r="M155" s="73" t="s">
        <v>166</v>
      </c>
    </row>
    <row r="156" spans="6:13" s="65" customFormat="1" ht="12.75">
      <c r="F156" s="65" t="s">
        <v>200</v>
      </c>
      <c r="M156" s="65" t="s">
        <v>174</v>
      </c>
    </row>
    <row r="157" s="65" customFormat="1" ht="12.75">
      <c r="F157" s="65" t="s">
        <v>190</v>
      </c>
    </row>
    <row r="158" spans="5:9" s="65" customFormat="1" ht="12.75">
      <c r="E158" s="65" t="s">
        <v>201</v>
      </c>
      <c r="I158" s="65">
        <v>0</v>
      </c>
    </row>
    <row r="159" spans="2:4" s="65" customFormat="1" ht="12.75">
      <c r="B159" s="65" t="s">
        <v>202</v>
      </c>
      <c r="D159" s="65" t="s">
        <v>203</v>
      </c>
    </row>
    <row r="160" s="65" customFormat="1" ht="12.75">
      <c r="D160" s="65" t="s">
        <v>204</v>
      </c>
    </row>
    <row r="161" s="65" customFormat="1" ht="12.75">
      <c r="D161" s="65" t="s">
        <v>205</v>
      </c>
    </row>
    <row r="162" s="65" customFormat="1" ht="12.75">
      <c r="D162" s="65" t="s">
        <v>191</v>
      </c>
    </row>
    <row r="163" spans="4:11" s="65" customFormat="1" ht="12.75">
      <c r="D163" s="65" t="s">
        <v>158</v>
      </c>
      <c r="H163" s="65">
        <v>0.00338</v>
      </c>
      <c r="K163" s="69">
        <f>N167/1000*H163</f>
        <v>0</v>
      </c>
    </row>
    <row r="164" spans="4:11" s="65" customFormat="1" ht="12.75">
      <c r="D164" s="65" t="s">
        <v>196</v>
      </c>
      <c r="H164" s="65">
        <v>0.00376</v>
      </c>
      <c r="K164" s="69">
        <f>N168/1000*H164</f>
        <v>0.018275856000000004</v>
      </c>
    </row>
    <row r="165" spans="4:11" s="65" customFormat="1" ht="12.75">
      <c r="D165" s="65" t="s">
        <v>198</v>
      </c>
      <c r="H165" s="65">
        <v>0.00414</v>
      </c>
      <c r="K165" s="69">
        <f>N169/1000*H165</f>
        <v>0</v>
      </c>
    </row>
    <row r="166" s="65" customFormat="1" ht="12.75">
      <c r="M166" s="65" t="s">
        <v>206</v>
      </c>
    </row>
    <row r="167" spans="1:13" s="65" customFormat="1" ht="12.75">
      <c r="A167" s="65" t="s">
        <v>207</v>
      </c>
      <c r="B167" s="65" t="s">
        <v>208</v>
      </c>
      <c r="D167" s="65" t="s">
        <v>203</v>
      </c>
      <c r="M167" s="65" t="s">
        <v>158</v>
      </c>
    </row>
    <row r="168" spans="4:14" s="65" customFormat="1" ht="12.75">
      <c r="D168" s="65" t="s">
        <v>209</v>
      </c>
      <c r="M168" s="73" t="s">
        <v>166</v>
      </c>
      <c r="N168" s="65">
        <f>N140</f>
        <v>4860.6</v>
      </c>
    </row>
    <row r="169" spans="4:13" s="65" customFormat="1" ht="12.75">
      <c r="D169" s="65" t="s">
        <v>191</v>
      </c>
      <c r="M169" s="65" t="s">
        <v>174</v>
      </c>
    </row>
    <row r="170" spans="4:11" s="65" customFormat="1" ht="12.75">
      <c r="D170" s="65" t="s">
        <v>158</v>
      </c>
      <c r="H170" s="65">
        <v>0.02043</v>
      </c>
      <c r="I170" s="65">
        <v>0</v>
      </c>
      <c r="K170" s="65">
        <f>N154/1000*H170</f>
        <v>0</v>
      </c>
    </row>
    <row r="171" spans="4:13" s="65" customFormat="1" ht="12.75">
      <c r="D171" s="65" t="s">
        <v>196</v>
      </c>
      <c r="H171" s="65">
        <v>0.0227</v>
      </c>
      <c r="I171" s="65">
        <v>0</v>
      </c>
      <c r="K171" s="65">
        <f>N155/1000*H171</f>
        <v>0</v>
      </c>
      <c r="M171" s="65" t="s">
        <v>210</v>
      </c>
    </row>
    <row r="172" spans="4:13" s="65" customFormat="1" ht="12.75">
      <c r="D172" s="65" t="s">
        <v>198</v>
      </c>
      <c r="H172" s="65">
        <v>0.02497</v>
      </c>
      <c r="I172" s="65">
        <v>0</v>
      </c>
      <c r="K172" s="65">
        <f>N156/1000*H172</f>
        <v>0</v>
      </c>
      <c r="M172" s="65" t="s">
        <v>158</v>
      </c>
    </row>
    <row r="173" spans="4:14" s="65" customFormat="1" ht="12.75">
      <c r="D173" s="65" t="s">
        <v>211</v>
      </c>
      <c r="M173" s="73" t="s">
        <v>166</v>
      </c>
      <c r="N173" s="65">
        <v>171</v>
      </c>
    </row>
    <row r="174" spans="4:13" s="65" customFormat="1" ht="12.75">
      <c r="D174" s="65" t="s">
        <v>191</v>
      </c>
      <c r="M174" s="65" t="s">
        <v>174</v>
      </c>
    </row>
    <row r="175" spans="4:6" s="65" customFormat="1" ht="12.75">
      <c r="D175" s="65" t="s">
        <v>192</v>
      </c>
      <c r="F175" s="65" t="s">
        <v>193</v>
      </c>
    </row>
    <row r="176" spans="4:11" s="65" customFormat="1" ht="12.75">
      <c r="D176" s="65" t="s">
        <v>158</v>
      </c>
      <c r="H176" s="65">
        <v>0.00999</v>
      </c>
      <c r="K176" s="69">
        <f>N139/1000*H176</f>
        <v>0</v>
      </c>
    </row>
    <row r="177" spans="4:11" s="65" customFormat="1" ht="12.75">
      <c r="D177" s="65" t="s">
        <v>196</v>
      </c>
      <c r="H177" s="65">
        <v>0.0111</v>
      </c>
      <c r="K177" s="69">
        <f>N140/1000*H177</f>
        <v>0.05395266000000001</v>
      </c>
    </row>
    <row r="178" spans="4:11" s="65" customFormat="1" ht="12.75">
      <c r="D178" s="65" t="s">
        <v>198</v>
      </c>
      <c r="H178" s="65">
        <v>0.01221</v>
      </c>
      <c r="I178" s="65">
        <v>0</v>
      </c>
      <c r="K178" s="69">
        <f>N141/1000*H178</f>
        <v>0</v>
      </c>
    </row>
    <row r="179" s="65" customFormat="1" ht="12.75">
      <c r="I179" s="65">
        <v>0</v>
      </c>
    </row>
    <row r="180" spans="5:9" s="65" customFormat="1" ht="12.75">
      <c r="E180" s="65" t="s">
        <v>201</v>
      </c>
      <c r="G180" s="65">
        <v>0</v>
      </c>
      <c r="I180" s="65">
        <v>0</v>
      </c>
    </row>
    <row r="181" spans="1:6" s="65" customFormat="1" ht="12.75">
      <c r="A181" s="65" t="s">
        <v>212</v>
      </c>
      <c r="B181" s="65" t="s">
        <v>213</v>
      </c>
      <c r="D181" s="65" t="s">
        <v>203</v>
      </c>
      <c r="F181" s="65" t="s">
        <v>193</v>
      </c>
    </row>
    <row r="182" spans="2:6" s="65" customFormat="1" ht="12.75">
      <c r="B182" s="65" t="s">
        <v>214</v>
      </c>
      <c r="D182" s="65" t="s">
        <v>209</v>
      </c>
      <c r="F182" s="65" t="s">
        <v>215</v>
      </c>
    </row>
    <row r="183" spans="4:6" s="65" customFormat="1" ht="12.75">
      <c r="D183" s="65" t="s">
        <v>191</v>
      </c>
      <c r="F183" s="65" t="s">
        <v>216</v>
      </c>
    </row>
    <row r="184" spans="4:11" s="65" customFormat="1" ht="12.75">
      <c r="D184" s="65" t="s">
        <v>158</v>
      </c>
      <c r="H184" s="65">
        <v>0.018432</v>
      </c>
      <c r="I184" s="65">
        <v>0</v>
      </c>
      <c r="K184" s="65">
        <f>N154/1000*H184</f>
        <v>0</v>
      </c>
    </row>
    <row r="185" spans="4:11" s="65" customFormat="1" ht="12.75">
      <c r="D185" s="65" t="s">
        <v>196</v>
      </c>
      <c r="H185" s="65">
        <v>0.02048</v>
      </c>
      <c r="I185" s="65">
        <v>0</v>
      </c>
      <c r="K185" s="65">
        <f>N155/1000*H185</f>
        <v>0</v>
      </c>
    </row>
    <row r="186" spans="4:11" s="65" customFormat="1" ht="12.75">
      <c r="D186" s="65" t="s">
        <v>198</v>
      </c>
      <c r="K186" s="65">
        <f>N156/1000*H186</f>
        <v>0</v>
      </c>
    </row>
    <row r="187" s="65" customFormat="1" ht="12.75">
      <c r="D187" s="65" t="s">
        <v>211</v>
      </c>
    </row>
    <row r="188" s="65" customFormat="1" ht="12.75">
      <c r="D188" s="65" t="s">
        <v>191</v>
      </c>
    </row>
    <row r="189" s="65" customFormat="1" ht="12.75">
      <c r="D189" s="65" t="s">
        <v>192</v>
      </c>
    </row>
    <row r="190" spans="4:11" s="65" customFormat="1" ht="12.75">
      <c r="D190" s="65" t="s">
        <v>158</v>
      </c>
      <c r="K190" s="69">
        <f>N139/1000*H190</f>
        <v>0</v>
      </c>
    </row>
    <row r="191" spans="4:11" s="65" customFormat="1" ht="12.75">
      <c r="D191" s="65" t="s">
        <v>196</v>
      </c>
      <c r="H191" s="65">
        <v>0.02295</v>
      </c>
      <c r="I191" s="65">
        <v>0</v>
      </c>
      <c r="K191" s="69">
        <f>N140/1000*H191</f>
        <v>0.11155077000000002</v>
      </c>
    </row>
    <row r="192" spans="4:11" s="65" customFormat="1" ht="12.75">
      <c r="D192" s="65" t="s">
        <v>198</v>
      </c>
      <c r="H192" s="65">
        <v>0.025245</v>
      </c>
      <c r="I192" s="65">
        <v>0</v>
      </c>
      <c r="K192" s="69">
        <f>N141/1000*H192</f>
        <v>0</v>
      </c>
    </row>
    <row r="193" spans="5:11" s="65" customFormat="1" ht="12.75">
      <c r="E193" s="65" t="s">
        <v>201</v>
      </c>
      <c r="G193" s="65">
        <v>0</v>
      </c>
      <c r="I193" s="65">
        <v>0</v>
      </c>
      <c r="K193" s="69"/>
    </row>
    <row r="194" s="65" customFormat="1" ht="12.75">
      <c r="K194" s="69"/>
    </row>
    <row r="195" spans="1:11" s="65" customFormat="1" ht="12.75">
      <c r="A195" s="65" t="s">
        <v>217</v>
      </c>
      <c r="B195" s="65" t="s">
        <v>218</v>
      </c>
      <c r="D195" s="65" t="s">
        <v>203</v>
      </c>
      <c r="K195" s="69"/>
    </row>
    <row r="196" spans="4:11" s="65" customFormat="1" ht="12.75">
      <c r="D196" s="65" t="s">
        <v>209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158</v>
      </c>
      <c r="H198" s="65">
        <v>0.027585</v>
      </c>
      <c r="I198" s="65">
        <v>0</v>
      </c>
      <c r="K198" s="69">
        <f>N154/1000*H198</f>
        <v>0</v>
      </c>
    </row>
    <row r="199" spans="4:11" s="65" customFormat="1" ht="12.75">
      <c r="D199" s="65" t="s">
        <v>196</v>
      </c>
      <c r="H199" s="65">
        <v>0.3065</v>
      </c>
      <c r="I199" s="65">
        <v>0</v>
      </c>
      <c r="K199" s="69">
        <f>N155/1000*H199</f>
        <v>0</v>
      </c>
    </row>
    <row r="200" spans="4:11" s="65" customFormat="1" ht="12.75">
      <c r="D200" s="65" t="s">
        <v>198</v>
      </c>
      <c r="K200" s="69">
        <f>N156/1000*H200</f>
        <v>0</v>
      </c>
    </row>
    <row r="201" spans="4:11" s="65" customFormat="1" ht="12.75">
      <c r="D201" s="65" t="s">
        <v>211</v>
      </c>
      <c r="K201" s="69"/>
    </row>
    <row r="202" spans="4:11" s="65" customFormat="1" ht="12.75">
      <c r="D202" s="65" t="s">
        <v>191</v>
      </c>
      <c r="K202" s="69"/>
    </row>
    <row r="203" spans="4:11" s="65" customFormat="1" ht="12.75">
      <c r="D203" s="65" t="s">
        <v>192</v>
      </c>
      <c r="K203" s="69"/>
    </row>
    <row r="204" spans="4:11" s="65" customFormat="1" ht="12.75">
      <c r="D204" s="65" t="s">
        <v>158</v>
      </c>
      <c r="K204" s="69">
        <f>N139/1000*H204</f>
        <v>0</v>
      </c>
    </row>
    <row r="205" spans="4:11" s="65" customFormat="1" ht="12.75">
      <c r="D205" s="65" t="s">
        <v>196</v>
      </c>
      <c r="H205" s="65">
        <v>0.00539</v>
      </c>
      <c r="I205" s="65">
        <v>0</v>
      </c>
      <c r="K205" s="69">
        <f>N140/1000*H205</f>
        <v>0.026198634000000002</v>
      </c>
    </row>
    <row r="206" spans="4:11" s="65" customFormat="1" ht="12.75">
      <c r="D206" s="65" t="s">
        <v>198</v>
      </c>
      <c r="H206" s="65">
        <v>0.005929</v>
      </c>
      <c r="I206" s="65">
        <v>0</v>
      </c>
      <c r="K206" s="69">
        <f>N141/1000*H206</f>
        <v>0</v>
      </c>
    </row>
    <row r="207" spans="5:11" s="65" customFormat="1" ht="12.75">
      <c r="E207" s="65" t="s">
        <v>201</v>
      </c>
      <c r="G207" s="65">
        <v>0</v>
      </c>
      <c r="I207" s="65">
        <v>0</v>
      </c>
      <c r="K207" s="69"/>
    </row>
    <row r="208" s="65" customFormat="1" ht="12.75">
      <c r="K208" s="69"/>
    </row>
    <row r="209" spans="1:11" s="65" customFormat="1" ht="12.75">
      <c r="A209" s="65" t="s">
        <v>219</v>
      </c>
      <c r="B209" s="65" t="s">
        <v>220</v>
      </c>
      <c r="D209" s="65" t="s">
        <v>203</v>
      </c>
      <c r="K209" s="69"/>
    </row>
    <row r="210" spans="2:11" s="65" customFormat="1" ht="12.75">
      <c r="B210" s="65" t="s">
        <v>214</v>
      </c>
      <c r="D210" s="65" t="s">
        <v>209</v>
      </c>
      <c r="K210" s="69"/>
    </row>
    <row r="211" spans="4:11" s="65" customFormat="1" ht="12.75">
      <c r="D211" s="65" t="s">
        <v>191</v>
      </c>
      <c r="K211" s="69"/>
    </row>
    <row r="212" spans="4:11" s="65" customFormat="1" ht="12.75">
      <c r="D212" s="65" t="s">
        <v>158</v>
      </c>
      <c r="H212" s="65">
        <v>0.022437</v>
      </c>
      <c r="I212" s="65">
        <v>0</v>
      </c>
      <c r="K212" s="69">
        <f>N154/1000*H212</f>
        <v>0</v>
      </c>
    </row>
    <row r="213" spans="4:11" s="65" customFormat="1" ht="12.75">
      <c r="D213" s="65" t="s">
        <v>196</v>
      </c>
      <c r="H213" s="65">
        <v>0.02493</v>
      </c>
      <c r="I213" s="65">
        <v>0</v>
      </c>
      <c r="K213" s="69">
        <f>N155/1000*H213</f>
        <v>0</v>
      </c>
    </row>
    <row r="214" spans="4:11" s="65" customFormat="1" ht="12.75">
      <c r="D214" s="65" t="s">
        <v>198</v>
      </c>
      <c r="K214" s="65">
        <f>N156/1000*H214</f>
        <v>0</v>
      </c>
    </row>
    <row r="215" s="65" customFormat="1" ht="12.75">
      <c r="D215" s="65" t="s">
        <v>211</v>
      </c>
    </row>
    <row r="216" s="65" customFormat="1" ht="12.75">
      <c r="D216" s="65" t="s">
        <v>191</v>
      </c>
    </row>
    <row r="217" s="65" customFormat="1" ht="12.75">
      <c r="D217" s="65" t="s">
        <v>192</v>
      </c>
    </row>
    <row r="218" spans="4:11" s="65" customFormat="1" ht="12.75">
      <c r="D218" s="65" t="s">
        <v>158</v>
      </c>
      <c r="K218" s="69">
        <f>N139/1000*H218</f>
        <v>0</v>
      </c>
    </row>
    <row r="219" spans="4:11" s="65" customFormat="1" ht="12.75">
      <c r="D219" s="65" t="s">
        <v>196</v>
      </c>
      <c r="H219" s="65">
        <v>0.00888</v>
      </c>
      <c r="I219" s="65">
        <v>0</v>
      </c>
      <c r="K219" s="69">
        <f>N140/1000*H219</f>
        <v>0.04316212800000001</v>
      </c>
    </row>
    <row r="220" spans="4:11" s="65" customFormat="1" ht="12.75">
      <c r="D220" s="65" t="s">
        <v>198</v>
      </c>
      <c r="H220" s="65">
        <v>0.009768</v>
      </c>
      <c r="I220" s="65">
        <v>0</v>
      </c>
      <c r="K220" s="69">
        <f>N141/1000*H220</f>
        <v>0</v>
      </c>
    </row>
    <row r="221" spans="5:11" s="65" customFormat="1" ht="12.75">
      <c r="E221" s="65" t="s">
        <v>201</v>
      </c>
      <c r="G221" s="65">
        <v>0</v>
      </c>
      <c r="I221" s="65">
        <v>0</v>
      </c>
      <c r="K221" s="69"/>
    </row>
    <row r="222" s="65" customFormat="1" ht="12.75">
      <c r="K222" s="69"/>
    </row>
    <row r="223" spans="2:4" s="65" customFormat="1" ht="12.75">
      <c r="B223" s="65" t="s">
        <v>221</v>
      </c>
      <c r="D223" s="65" t="s">
        <v>203</v>
      </c>
    </row>
    <row r="224" s="65" customFormat="1" ht="12.75">
      <c r="D224" s="65" t="s">
        <v>204</v>
      </c>
    </row>
    <row r="225" s="65" customFormat="1" ht="12.75">
      <c r="D225" s="65" t="s">
        <v>205</v>
      </c>
    </row>
    <row r="226" s="65" customFormat="1" ht="12.75">
      <c r="D226" s="65" t="s">
        <v>191</v>
      </c>
    </row>
    <row r="227" spans="4:11" s="65" customFormat="1" ht="12.75">
      <c r="D227" s="65" t="s">
        <v>158</v>
      </c>
      <c r="H227" s="65">
        <v>0.0243</v>
      </c>
      <c r="K227" s="69">
        <f>N167/1000*H227</f>
        <v>0</v>
      </c>
    </row>
    <row r="228" spans="4:11" s="65" customFormat="1" ht="12.75">
      <c r="D228" s="65" t="s">
        <v>196</v>
      </c>
      <c r="H228" s="65">
        <v>0.027</v>
      </c>
      <c r="K228" s="69">
        <f>N168/1000*H228</f>
        <v>0.13123620000000003</v>
      </c>
    </row>
    <row r="229" spans="4:11" s="65" customFormat="1" ht="12.75">
      <c r="D229" s="65" t="s">
        <v>198</v>
      </c>
      <c r="H229" s="65">
        <v>0.0297</v>
      </c>
      <c r="K229" s="69">
        <f>N169/1000*H229</f>
        <v>0</v>
      </c>
    </row>
    <row r="230" spans="1:11" s="65" customFormat="1" ht="12.75">
      <c r="A230" s="65" t="s">
        <v>222</v>
      </c>
      <c r="B230" s="65" t="s">
        <v>223</v>
      </c>
      <c r="D230" s="65" t="s">
        <v>203</v>
      </c>
      <c r="K230" s="69"/>
    </row>
    <row r="231" spans="4:11" s="65" customFormat="1" ht="12.75">
      <c r="D231" s="65" t="s">
        <v>209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158</v>
      </c>
      <c r="H233" s="65">
        <v>0.01773</v>
      </c>
      <c r="I233" s="65">
        <v>0</v>
      </c>
      <c r="K233" s="69">
        <f>N154/1000*H233</f>
        <v>0</v>
      </c>
    </row>
    <row r="234" spans="4:11" s="65" customFormat="1" ht="12.75">
      <c r="D234" s="65" t="s">
        <v>196</v>
      </c>
      <c r="H234" s="65">
        <v>0.0197</v>
      </c>
      <c r="I234" s="65">
        <v>0</v>
      </c>
      <c r="K234" s="69">
        <f>N155/1000*H234</f>
        <v>0</v>
      </c>
    </row>
    <row r="235" spans="4:11" s="65" customFormat="1" ht="12.75">
      <c r="D235" s="65" t="s">
        <v>198</v>
      </c>
      <c r="K235" s="69">
        <f>N156/1000*H235</f>
        <v>0</v>
      </c>
    </row>
    <row r="236" spans="4:11" s="65" customFormat="1" ht="12.75">
      <c r="D236" s="65" t="s">
        <v>211</v>
      </c>
      <c r="K236" s="69"/>
    </row>
    <row r="237" spans="4:11" s="65" customFormat="1" ht="12.75">
      <c r="D237" s="65" t="s">
        <v>191</v>
      </c>
      <c r="K237" s="69"/>
    </row>
    <row r="238" spans="4:11" s="65" customFormat="1" ht="12.75">
      <c r="D238" s="65" t="s">
        <v>192</v>
      </c>
      <c r="K238" s="69"/>
    </row>
    <row r="239" spans="4:11" s="65" customFormat="1" ht="12.75">
      <c r="D239" s="65" t="s">
        <v>158</v>
      </c>
      <c r="K239" s="69">
        <f>N139/1000*H239</f>
        <v>0</v>
      </c>
    </row>
    <row r="240" spans="4:11" s="65" customFormat="1" ht="12.75">
      <c r="D240" s="65" t="s">
        <v>196</v>
      </c>
      <c r="H240" s="65">
        <v>0.0018</v>
      </c>
      <c r="I240" s="65">
        <v>0</v>
      </c>
      <c r="K240" s="69">
        <f>N140/1000*H240</f>
        <v>0.008749080000000001</v>
      </c>
    </row>
    <row r="241" spans="4:11" s="65" customFormat="1" ht="12.75">
      <c r="D241" s="65" t="s">
        <v>198</v>
      </c>
      <c r="H241" s="65">
        <v>0.00198</v>
      </c>
      <c r="I241" s="65">
        <v>0</v>
      </c>
      <c r="K241" s="69">
        <f>N141/1000*H241</f>
        <v>0</v>
      </c>
    </row>
    <row r="242" spans="5:11" s="65" customFormat="1" ht="12.75">
      <c r="E242" s="65" t="s">
        <v>201</v>
      </c>
      <c r="G242" s="65">
        <v>0</v>
      </c>
      <c r="I242" s="65">
        <v>0</v>
      </c>
      <c r="K242" s="69"/>
    </row>
    <row r="243" s="65" customFormat="1" ht="12.75">
      <c r="K243" s="69"/>
    </row>
    <row r="244" spans="2:7" s="65" customFormat="1" ht="12.75">
      <c r="B244" s="65" t="s">
        <v>224</v>
      </c>
      <c r="D244" s="65" t="s">
        <v>203</v>
      </c>
      <c r="G244" s="65" t="s">
        <v>225</v>
      </c>
    </row>
    <row r="245" spans="4:7" s="65" customFormat="1" ht="12.75">
      <c r="D245" s="65" t="s">
        <v>204</v>
      </c>
      <c r="G245" s="65" t="s">
        <v>226</v>
      </c>
    </row>
    <row r="246" spans="4:7" s="65" customFormat="1" ht="12.75">
      <c r="D246" s="65" t="s">
        <v>205</v>
      </c>
      <c r="G246" s="65" t="s">
        <v>227</v>
      </c>
    </row>
    <row r="247" s="65" customFormat="1" ht="12.75">
      <c r="D247" s="65" t="s">
        <v>191</v>
      </c>
    </row>
    <row r="248" spans="4:11" s="65" customFormat="1" ht="12.75">
      <c r="D248" s="65" t="s">
        <v>158</v>
      </c>
      <c r="H248" s="65">
        <v>0.02367</v>
      </c>
      <c r="K248" s="69">
        <f>N149/1000*H248</f>
        <v>0</v>
      </c>
    </row>
    <row r="249" spans="4:11" s="65" customFormat="1" ht="12.75">
      <c r="D249" s="65" t="s">
        <v>196</v>
      </c>
      <c r="H249" s="65">
        <v>0.0263</v>
      </c>
      <c r="K249" s="69">
        <f>N150/1000*H249</f>
        <v>0.032793470000000005</v>
      </c>
    </row>
    <row r="250" spans="4:11" s="65" customFormat="1" ht="12.75">
      <c r="D250" s="65" t="s">
        <v>198</v>
      </c>
      <c r="H250" s="65">
        <v>0.02893</v>
      </c>
      <c r="K250" s="69">
        <f>N151/1000*H250</f>
        <v>0</v>
      </c>
    </row>
    <row r="251" s="65" customFormat="1" ht="12.75">
      <c r="K251" s="69"/>
    </row>
    <row r="252" spans="1:11" s="65" customFormat="1" ht="12.75">
      <c r="A252" s="65" t="s">
        <v>228</v>
      </c>
      <c r="B252" s="65" t="s">
        <v>229</v>
      </c>
      <c r="D252" s="65" t="s">
        <v>203</v>
      </c>
      <c r="K252" s="69"/>
    </row>
    <row r="253" spans="2:11" s="65" customFormat="1" ht="12.75">
      <c r="B253" s="65" t="s">
        <v>230</v>
      </c>
      <c r="D253" s="65" t="s">
        <v>209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158</v>
      </c>
      <c r="H255" s="65">
        <v>0.014679</v>
      </c>
      <c r="I255" s="65">
        <v>0</v>
      </c>
      <c r="K255" s="69">
        <f>N154/1000*H255</f>
        <v>0</v>
      </c>
    </row>
    <row r="256" spans="4:11" s="65" customFormat="1" ht="12.75">
      <c r="D256" s="65" t="s">
        <v>196</v>
      </c>
      <c r="H256" s="65">
        <v>0.01631</v>
      </c>
      <c r="I256" s="65">
        <v>0</v>
      </c>
      <c r="K256" s="69">
        <f>N155/1000*H256</f>
        <v>0</v>
      </c>
    </row>
    <row r="257" spans="4:11" s="65" customFormat="1" ht="12.75">
      <c r="D257" s="65" t="s">
        <v>198</v>
      </c>
      <c r="K257" s="69">
        <f>N156/1000*H257</f>
        <v>0</v>
      </c>
    </row>
    <row r="258" spans="4:11" s="65" customFormat="1" ht="12.75">
      <c r="D258" s="65" t="s">
        <v>211</v>
      </c>
      <c r="K258" s="69"/>
    </row>
    <row r="259" spans="4:11" s="65" customFormat="1" ht="12.75">
      <c r="D259" s="65" t="s">
        <v>191</v>
      </c>
      <c r="K259" s="69"/>
    </row>
    <row r="260" spans="4:11" s="65" customFormat="1" ht="12.75">
      <c r="D260" s="65" t="s">
        <v>192</v>
      </c>
      <c r="K260" s="69"/>
    </row>
    <row r="261" spans="4:11" s="65" customFormat="1" ht="12.75">
      <c r="D261" s="65" t="s">
        <v>158</v>
      </c>
      <c r="K261" s="69">
        <f>N139/1000*H261</f>
        <v>0</v>
      </c>
    </row>
    <row r="262" spans="4:11" s="65" customFormat="1" ht="12.75">
      <c r="D262" s="65" t="s">
        <v>196</v>
      </c>
      <c r="H262" s="65">
        <v>0.01631</v>
      </c>
      <c r="I262" s="65">
        <v>0</v>
      </c>
      <c r="K262" s="69">
        <f>N140/1000*H262</f>
        <v>0.07927638600000002</v>
      </c>
    </row>
    <row r="263" spans="4:11" s="65" customFormat="1" ht="12.75">
      <c r="D263" s="65" t="s">
        <v>198</v>
      </c>
      <c r="H263" s="65">
        <v>0.017941</v>
      </c>
      <c r="I263" s="65">
        <v>0</v>
      </c>
      <c r="K263" s="69">
        <f>N141/1000*H263</f>
        <v>0</v>
      </c>
    </row>
    <row r="264" spans="5:11" s="65" customFormat="1" ht="12.75">
      <c r="E264" s="65" t="s">
        <v>201</v>
      </c>
      <c r="G264" s="65">
        <v>0</v>
      </c>
      <c r="I264" s="65">
        <v>0</v>
      </c>
      <c r="K264" s="69"/>
    </row>
    <row r="265" s="65" customFormat="1" ht="12.75">
      <c r="K265" s="69"/>
    </row>
    <row r="266" spans="1:11" s="65" customFormat="1" ht="12.75">
      <c r="A266" s="65" t="s">
        <v>231</v>
      </c>
      <c r="B266" s="65" t="s">
        <v>232</v>
      </c>
      <c r="D266" s="65" t="s">
        <v>203</v>
      </c>
      <c r="K266" s="69"/>
    </row>
    <row r="267" spans="2:11" s="65" customFormat="1" ht="12.75">
      <c r="B267" s="65" t="s">
        <v>233</v>
      </c>
      <c r="D267" s="65" t="s">
        <v>211</v>
      </c>
      <c r="K267" s="69"/>
    </row>
    <row r="268" spans="4:11" s="65" customFormat="1" ht="12.75">
      <c r="D268" s="65" t="s">
        <v>209</v>
      </c>
      <c r="K268" s="69"/>
    </row>
    <row r="269" spans="4:11" s="65" customFormat="1" ht="12.75">
      <c r="D269" s="65" t="s">
        <v>234</v>
      </c>
      <c r="K269" s="69"/>
    </row>
    <row r="270" spans="4:11" s="65" customFormat="1" ht="12.75">
      <c r="D270" s="65" t="s">
        <v>235</v>
      </c>
      <c r="F270" s="65" t="s">
        <v>236</v>
      </c>
      <c r="K270" s="69"/>
    </row>
    <row r="271" spans="4:11" s="65" customFormat="1" ht="12.75">
      <c r="D271" s="65" t="s">
        <v>191</v>
      </c>
      <c r="F271" s="65" t="s">
        <v>237</v>
      </c>
      <c r="K271" s="69"/>
    </row>
    <row r="272" spans="4:11" s="65" customFormat="1" ht="12.75">
      <c r="D272" s="65" t="s">
        <v>158</v>
      </c>
      <c r="H272" s="65">
        <v>41000</v>
      </c>
      <c r="I272" s="65">
        <v>0</v>
      </c>
      <c r="K272" s="69">
        <f>N167/H272</f>
        <v>0</v>
      </c>
    </row>
    <row r="273" spans="4:11" s="65" customFormat="1" ht="12.75">
      <c r="D273" s="65" t="s">
        <v>196</v>
      </c>
      <c r="H273" s="65">
        <v>39000</v>
      </c>
      <c r="I273" s="65">
        <v>0</v>
      </c>
      <c r="K273" s="69">
        <f>N168/H273</f>
        <v>0.12463076923076924</v>
      </c>
    </row>
    <row r="274" spans="4:11" s="65" customFormat="1" ht="12.75">
      <c r="D274" s="65" t="s">
        <v>198</v>
      </c>
      <c r="H274" s="65">
        <v>37000</v>
      </c>
      <c r="I274" s="65">
        <v>0</v>
      </c>
      <c r="K274" s="69">
        <f>N169/H274</f>
        <v>0</v>
      </c>
    </row>
    <row r="275" s="65" customFormat="1" ht="12.75">
      <c r="K275" s="69"/>
    </row>
    <row r="276" spans="4:11" s="65" customFormat="1" ht="12.75">
      <c r="D276" s="65" t="s">
        <v>238</v>
      </c>
      <c r="K276" s="69"/>
    </row>
    <row r="277" spans="4:11" s="65" customFormat="1" ht="12.75">
      <c r="D277" s="65" t="s">
        <v>239</v>
      </c>
      <c r="F277" s="65" t="s">
        <v>240</v>
      </c>
      <c r="K277" s="69"/>
    </row>
    <row r="278" spans="4:11" s="65" customFormat="1" ht="12.75">
      <c r="D278" s="65" t="s">
        <v>191</v>
      </c>
      <c r="K278" s="69"/>
    </row>
    <row r="279" spans="4:11" s="65" customFormat="1" ht="12.75">
      <c r="D279" s="65" t="s">
        <v>158</v>
      </c>
      <c r="H279" s="65">
        <v>450</v>
      </c>
      <c r="I279" s="65">
        <v>0</v>
      </c>
      <c r="K279" s="69">
        <f>N172/H279</f>
        <v>0</v>
      </c>
    </row>
    <row r="280" spans="4:11" s="65" customFormat="1" ht="12.75">
      <c r="D280" s="65" t="s">
        <v>196</v>
      </c>
      <c r="H280" s="65">
        <v>375</v>
      </c>
      <c r="I280" s="65">
        <v>0</v>
      </c>
      <c r="K280" s="69">
        <f>N173/H280</f>
        <v>0.456</v>
      </c>
    </row>
    <row r="281" spans="4:11" s="65" customFormat="1" ht="12.75">
      <c r="D281" s="65" t="s">
        <v>198</v>
      </c>
      <c r="H281" s="65">
        <v>310</v>
      </c>
      <c r="I281" s="65">
        <v>0</v>
      </c>
      <c r="K281" s="69">
        <f>N174/H281</f>
        <v>0</v>
      </c>
    </row>
    <row r="282" spans="5:11" s="65" customFormat="1" ht="12.75">
      <c r="E282" s="65" t="s">
        <v>201</v>
      </c>
      <c r="G282" s="65">
        <v>0</v>
      </c>
      <c r="I282" s="65">
        <v>0</v>
      </c>
      <c r="K282" s="69"/>
    </row>
    <row r="283" s="65" customFormat="1" ht="12.75">
      <c r="K283" s="69"/>
    </row>
    <row r="284" spans="1:11" s="65" customFormat="1" ht="12.75">
      <c r="A284" s="65" t="s">
        <v>241</v>
      </c>
      <c r="B284" s="65" t="s">
        <v>242</v>
      </c>
      <c r="D284" s="65" t="s">
        <v>243</v>
      </c>
      <c r="K284" s="69"/>
    </row>
    <row r="285" spans="4:11" s="65" customFormat="1" ht="12.75">
      <c r="D285" s="65" t="s">
        <v>244</v>
      </c>
      <c r="F285" s="65" t="s">
        <v>240</v>
      </c>
      <c r="K285" s="69"/>
    </row>
    <row r="286" spans="4:11" s="65" customFormat="1" ht="12.75">
      <c r="D286" s="65" t="s">
        <v>245</v>
      </c>
      <c r="K286" s="69"/>
    </row>
    <row r="287" spans="4:11" s="65" customFormat="1" ht="12.75">
      <c r="D287" s="65" t="s">
        <v>158</v>
      </c>
      <c r="H287" s="65">
        <v>2350</v>
      </c>
      <c r="I287" s="65">
        <v>0</v>
      </c>
      <c r="K287" s="69">
        <f>N172/H287</f>
        <v>0</v>
      </c>
    </row>
    <row r="288" spans="4:11" s="65" customFormat="1" ht="12.75">
      <c r="D288" s="65" t="s">
        <v>196</v>
      </c>
      <c r="H288" s="65">
        <v>2250</v>
      </c>
      <c r="I288" s="65">
        <v>0</v>
      </c>
      <c r="K288" s="69">
        <f>N173/H288</f>
        <v>0.076</v>
      </c>
    </row>
    <row r="289" spans="4:11" s="65" customFormat="1" ht="12.75">
      <c r="D289" s="65" t="s">
        <v>198</v>
      </c>
      <c r="H289" s="65">
        <v>2200</v>
      </c>
      <c r="I289" s="65">
        <v>0</v>
      </c>
      <c r="K289" s="69">
        <f>N174/H289</f>
        <v>0</v>
      </c>
    </row>
    <row r="290" spans="5:11" s="65" customFormat="1" ht="12.75">
      <c r="E290" s="65" t="s">
        <v>201</v>
      </c>
      <c r="G290" s="65">
        <v>0</v>
      </c>
      <c r="I290" s="65">
        <v>0</v>
      </c>
      <c r="K290" s="69"/>
    </row>
    <row r="291" s="65" customFormat="1" ht="12.75">
      <c r="K291" s="69">
        <f>K153+K154+K155+K163+K164+K165+K170+K171+K172+K176+K177+K178+K184+K185+K186+K190+K191+K192+K198+K199+K200+K204+K205+K206+K212+K213+K214+K218+K219+K220+K227+K228+K229+K233+K234+K235+K239+K240+K241+K248+K249+K250+K255+K256+K257+K261+K262+K263+K272+K273+K274+K279+K280+K281+K287+K288+K289</f>
        <v>1.2177843732307694</v>
      </c>
    </row>
    <row r="292" spans="1:11" s="65" customFormat="1" ht="12.75">
      <c r="A292" s="65" t="s">
        <v>246</v>
      </c>
      <c r="B292" s="65" t="s">
        <v>247</v>
      </c>
      <c r="F292" s="65" t="s">
        <v>248</v>
      </c>
      <c r="I292" s="65">
        <v>1</v>
      </c>
      <c r="K292" s="69">
        <f>K291*1.12</f>
        <v>1.3639184980184618</v>
      </c>
    </row>
    <row r="293" s="65" customFormat="1" ht="12.75">
      <c r="B293" s="65" t="s">
        <v>249</v>
      </c>
    </row>
    <row r="294" s="65" customFormat="1" ht="12.75">
      <c r="B294" s="65" t="s">
        <v>250</v>
      </c>
    </row>
    <row r="295" s="65" customFormat="1" ht="12.75"/>
    <row r="296" spans="1:9" s="65" customFormat="1" ht="12.75">
      <c r="A296" s="65" t="s">
        <v>251</v>
      </c>
      <c r="B296" s="65" t="s">
        <v>252</v>
      </c>
      <c r="I296" s="65">
        <v>2</v>
      </c>
    </row>
    <row r="297" spans="1:9" s="65" customFormat="1" ht="12.75">
      <c r="A297" s="65" t="s">
        <v>253</v>
      </c>
      <c r="B297" s="65" t="s">
        <v>254</v>
      </c>
      <c r="I297" s="65">
        <v>1</v>
      </c>
    </row>
    <row r="298" spans="1:9" s="65" customFormat="1" ht="12.75">
      <c r="A298" s="65" t="s">
        <v>255</v>
      </c>
      <c r="B298" s="65" t="s">
        <v>256</v>
      </c>
      <c r="I298" s="65">
        <v>1</v>
      </c>
    </row>
    <row r="299" spans="2:9" s="65" customFormat="1" ht="12.75">
      <c r="B299" s="65" t="s">
        <v>257</v>
      </c>
      <c r="I299" s="65">
        <v>5</v>
      </c>
    </row>
    <row r="300" s="65" customFormat="1" ht="12.75">
      <c r="F300" s="65" t="s">
        <v>258</v>
      </c>
    </row>
    <row r="301" spans="1:9" s="65" customFormat="1" ht="12.75">
      <c r="A301" s="65" t="s">
        <v>259</v>
      </c>
      <c r="B301" s="65" t="s">
        <v>260</v>
      </c>
      <c r="E301" s="65" t="s">
        <v>261</v>
      </c>
      <c r="H301" s="65">
        <v>1200</v>
      </c>
      <c r="I301" s="78">
        <f>G301/H301</f>
        <v>0</v>
      </c>
    </row>
    <row r="302" spans="5:9" s="65" customFormat="1" ht="12.75">
      <c r="E302" s="65" t="s">
        <v>262</v>
      </c>
      <c r="G302" s="65">
        <v>840</v>
      </c>
      <c r="H302" s="65">
        <v>1650</v>
      </c>
      <c r="I302" s="78">
        <f>G302/H302</f>
        <v>0.509090909090909</v>
      </c>
    </row>
    <row r="303" spans="5:9" s="65" customFormat="1" ht="12.75">
      <c r="E303" s="65" t="s">
        <v>263</v>
      </c>
      <c r="G303" s="65">
        <v>3900</v>
      </c>
      <c r="H303" s="65">
        <v>9000</v>
      </c>
      <c r="I303" s="78">
        <f>G303/H303</f>
        <v>0.43333333333333335</v>
      </c>
    </row>
    <row r="304" spans="3:9" s="65" customFormat="1" ht="12.75">
      <c r="C304" s="65" t="s">
        <v>201</v>
      </c>
      <c r="G304" s="65">
        <f>G301+G303</f>
        <v>3900</v>
      </c>
      <c r="I304" s="78">
        <f>I301+I302+I303</f>
        <v>0.9424242424242424</v>
      </c>
    </row>
    <row r="305" spans="6:9" s="65" customFormat="1" ht="12.75">
      <c r="F305" s="65" t="s">
        <v>258</v>
      </c>
      <c r="I305" s="78"/>
    </row>
    <row r="306" spans="1:9" s="65" customFormat="1" ht="12.75">
      <c r="A306" s="65" t="s">
        <v>264</v>
      </c>
      <c r="B306" s="65" t="s">
        <v>265</v>
      </c>
      <c r="E306" s="65" t="s">
        <v>266</v>
      </c>
      <c r="H306" s="65">
        <v>800</v>
      </c>
      <c r="I306" s="78">
        <f>G306/H306</f>
        <v>0</v>
      </c>
    </row>
    <row r="307" spans="2:9" s="65" customFormat="1" ht="12.75">
      <c r="B307" s="65" t="s">
        <v>267</v>
      </c>
      <c r="E307" s="65" t="s">
        <v>268</v>
      </c>
      <c r="G307" s="65">
        <v>980</v>
      </c>
      <c r="H307" s="65">
        <v>960</v>
      </c>
      <c r="I307" s="78">
        <f>G307/H307</f>
        <v>1.0208333333333333</v>
      </c>
    </row>
    <row r="308" spans="5:9" s="65" customFormat="1" ht="12.75">
      <c r="E308" s="65" t="s">
        <v>269</v>
      </c>
      <c r="I308" s="78"/>
    </row>
    <row r="309" spans="3:9" s="65" customFormat="1" ht="12.75">
      <c r="C309" s="65" t="s">
        <v>201</v>
      </c>
      <c r="G309" s="65">
        <f>G306+G307+G308</f>
        <v>980</v>
      </c>
      <c r="I309" s="78">
        <f>I306+I307</f>
        <v>1.0208333333333333</v>
      </c>
    </row>
    <row r="310" spans="6:9" s="65" customFormat="1" ht="12.75">
      <c r="F310" s="65" t="s">
        <v>270</v>
      </c>
      <c r="I310" s="78"/>
    </row>
    <row r="311" spans="1:9" s="65" customFormat="1" ht="12.75">
      <c r="A311" s="65" t="s">
        <v>271</v>
      </c>
      <c r="B311" s="65" t="s">
        <v>272</v>
      </c>
      <c r="E311" s="65" t="s">
        <v>273</v>
      </c>
      <c r="H311" s="65">
        <v>500</v>
      </c>
      <c r="I311" s="78">
        <f>G311/H311</f>
        <v>0</v>
      </c>
    </row>
    <row r="312" spans="5:9" s="65" customFormat="1" ht="12.75">
      <c r="E312" s="65" t="s">
        <v>274</v>
      </c>
      <c r="H312" s="65">
        <v>700</v>
      </c>
      <c r="I312" s="78">
        <f>G312/H312</f>
        <v>0</v>
      </c>
    </row>
    <row r="313" spans="5:9" s="65" customFormat="1" ht="12.75">
      <c r="E313" s="65" t="s">
        <v>275</v>
      </c>
      <c r="I313" s="78"/>
    </row>
    <row r="314" spans="3:9" s="65" customFormat="1" ht="12.75">
      <c r="C314" s="65" t="s">
        <v>201</v>
      </c>
      <c r="G314" s="65">
        <v>0</v>
      </c>
      <c r="I314" s="78">
        <f>I311+I312</f>
        <v>0</v>
      </c>
    </row>
    <row r="315" spans="1:2" s="65" customFormat="1" ht="12.75">
      <c r="A315" s="65" t="s">
        <v>276</v>
      </c>
      <c r="B315" s="65" t="s">
        <v>277</v>
      </c>
    </row>
    <row r="316" spans="2:9" s="65" customFormat="1" ht="12.75">
      <c r="B316" s="65" t="s">
        <v>278</v>
      </c>
      <c r="I316" s="65">
        <v>2</v>
      </c>
    </row>
  </sheetData>
  <sheetProtection/>
  <mergeCells count="50">
    <mergeCell ref="A123:D123"/>
    <mergeCell ref="C104:I104"/>
    <mergeCell ref="A113:G113"/>
    <mergeCell ref="A117:E117"/>
    <mergeCell ref="A119:G119"/>
    <mergeCell ref="A80:G80"/>
    <mergeCell ref="A81:D81"/>
    <mergeCell ref="E81:G81"/>
    <mergeCell ref="A82:E82"/>
    <mergeCell ref="A66:G66"/>
    <mergeCell ref="A68:D68"/>
    <mergeCell ref="A69:F69"/>
    <mergeCell ref="A72:E72"/>
    <mergeCell ref="C76:D76"/>
    <mergeCell ref="A79:F79"/>
    <mergeCell ref="A51:G51"/>
    <mergeCell ref="A52:G52"/>
    <mergeCell ref="A59:F59"/>
    <mergeCell ref="A63:G63"/>
    <mergeCell ref="A64:E64"/>
    <mergeCell ref="A65:G65"/>
    <mergeCell ref="A42:G42"/>
    <mergeCell ref="A43:G43"/>
    <mergeCell ref="A44:F44"/>
    <mergeCell ref="A45:F45"/>
    <mergeCell ref="A49:F49"/>
    <mergeCell ref="A50:F50"/>
    <mergeCell ref="A36:G36"/>
    <mergeCell ref="A37:G37"/>
    <mergeCell ref="A38:D38"/>
    <mergeCell ref="A39:G39"/>
    <mergeCell ref="A40:G40"/>
    <mergeCell ref="A41:G41"/>
    <mergeCell ref="A28:G28"/>
    <mergeCell ref="A29:G29"/>
    <mergeCell ref="A31:E31"/>
    <mergeCell ref="A33:G33"/>
    <mergeCell ref="A34:G34"/>
    <mergeCell ref="A35:G35"/>
    <mergeCell ref="A19:F19"/>
    <mergeCell ref="A20:F20"/>
    <mergeCell ref="A21:F21"/>
    <mergeCell ref="A25:F25"/>
    <mergeCell ref="A26:G26"/>
    <mergeCell ref="A27:G27"/>
    <mergeCell ref="A1:K1"/>
    <mergeCell ref="A2:K2"/>
    <mergeCell ref="A4:K5"/>
    <mergeCell ref="A6:K6"/>
    <mergeCell ref="A15:G15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1:L12 N84:N85 L85 H113 K113 H119 H127" evalError="1"/>
  </ignoredError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P317"/>
  <sheetViews>
    <sheetView zoomScalePageLayoutView="0" workbookViewId="0" topLeftCell="A1">
      <selection activeCell="K114" sqref="K114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14062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6" width="9.140625" style="65" customWidth="1"/>
    <col min="17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955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4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65">
        <f>11.18*1.042</f>
        <v>11.64956</v>
      </c>
      <c r="N5" s="65">
        <f>M5*0.04</f>
        <v>0.46598239999999996</v>
      </c>
    </row>
    <row r="6" spans="1:14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65">
        <f>11.18*1.042</f>
        <v>11.64956</v>
      </c>
      <c r="N6" s="65">
        <f>M6*0.04</f>
        <v>0.46598239999999996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6" s="9" customFormat="1" ht="15.75">
      <c r="A11" s="11"/>
      <c r="B11" s="11"/>
      <c r="C11" s="12"/>
      <c r="D11" s="11"/>
      <c r="K11" s="5"/>
      <c r="L11" s="67"/>
      <c r="M11" s="67"/>
      <c r="N11" s="67"/>
      <c r="O11" s="67"/>
      <c r="P11" s="67"/>
    </row>
    <row r="12" spans="1:16" s="9" customFormat="1" ht="15.75">
      <c r="A12" s="11" t="s">
        <v>69</v>
      </c>
      <c r="B12" s="11"/>
      <c r="C12" s="12"/>
      <c r="D12" s="11"/>
      <c r="E12" s="9">
        <v>34084.612</v>
      </c>
      <c r="F12" s="9" t="s">
        <v>70</v>
      </c>
      <c r="H12" s="13"/>
      <c r="I12" s="13"/>
      <c r="K12" s="13"/>
      <c r="L12" s="67"/>
      <c r="M12" s="67"/>
      <c r="N12" s="67"/>
      <c r="O12" s="67"/>
      <c r="P12" s="67"/>
    </row>
    <row r="13" spans="1:16" s="9" customFormat="1" ht="15.75">
      <c r="A13" s="11"/>
      <c r="B13" s="11"/>
      <c r="C13" s="12"/>
      <c r="D13" s="11"/>
      <c r="H13" s="13"/>
      <c r="I13" s="13"/>
      <c r="K13" s="13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K17+K32+K56+K72+K79+K89+K48</f>
        <v>54550.1099153658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H19+H20+H21+H23+H25+H26+H28+H29+H30</f>
        <v>12071.436704789214</v>
      </c>
      <c r="M17" s="65" t="s">
        <v>76</v>
      </c>
      <c r="O17" s="78">
        <f>I305</f>
        <v>1.02020202020202</v>
      </c>
    </row>
    <row r="18" spans="1:15" ht="12.75">
      <c r="A18" s="22" t="s">
        <v>727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78">
        <f>I310</f>
        <v>1.0208333333333333</v>
      </c>
    </row>
    <row r="19" spans="1:15" ht="12.75">
      <c r="A19" s="113" t="s">
        <v>956</v>
      </c>
      <c r="B19" s="113"/>
      <c r="C19" s="113"/>
      <c r="D19" s="113"/>
      <c r="E19" s="113"/>
      <c r="F19" s="113"/>
      <c r="G19" s="22"/>
      <c r="H19" s="23">
        <f>O17*2600*1.75*1.07</f>
        <v>4966.853535353535</v>
      </c>
      <c r="I19" s="22"/>
      <c r="J19" s="22"/>
      <c r="K19" s="23"/>
      <c r="M19" s="65" t="s">
        <v>80</v>
      </c>
      <c r="O19" s="78">
        <f>I315</f>
        <v>0.46285714285714286</v>
      </c>
    </row>
    <row r="20" spans="1:15" ht="12.75">
      <c r="A20" s="113" t="s">
        <v>957</v>
      </c>
      <c r="B20" s="113"/>
      <c r="C20" s="113"/>
      <c r="D20" s="113"/>
      <c r="E20" s="113"/>
      <c r="F20" s="113"/>
      <c r="G20" s="22"/>
      <c r="H20" s="23">
        <f>O19*2600*1.5*1.07</f>
        <v>1931.502857142857</v>
      </c>
      <c r="I20" s="22"/>
      <c r="J20" s="22"/>
      <c r="K20" s="23"/>
      <c r="M20" s="65" t="s">
        <v>314</v>
      </c>
      <c r="O20" s="65">
        <v>4294.3</v>
      </c>
    </row>
    <row r="21" spans="1:15" ht="12.75">
      <c r="A21" s="113" t="s">
        <v>841</v>
      </c>
      <c r="B21" s="113"/>
      <c r="C21" s="113"/>
      <c r="D21" s="113"/>
      <c r="E21" s="113"/>
      <c r="F21" s="113"/>
      <c r="G21" s="22"/>
      <c r="H21" s="23">
        <f>O18*2203*1.3*1.07</f>
        <v>3128.2141041666664</v>
      </c>
      <c r="I21" s="22"/>
      <c r="J21" s="22"/>
      <c r="K21" s="23"/>
      <c r="M21" s="65" t="s">
        <v>83</v>
      </c>
      <c r="O21" s="65">
        <v>324</v>
      </c>
    </row>
    <row r="22" spans="1:13" ht="12.75" hidden="1">
      <c r="A22" s="22"/>
      <c r="B22" s="22"/>
      <c r="C22" s="22"/>
      <c r="D22" s="22"/>
      <c r="E22" s="22"/>
      <c r="F22" s="22"/>
      <c r="G22" s="22"/>
      <c r="H22" s="23"/>
      <c r="I22" s="22"/>
      <c r="J22" s="22"/>
      <c r="M22" s="65" t="s">
        <v>316</v>
      </c>
    </row>
    <row r="23" spans="1:16" ht="12.75">
      <c r="A23" s="23">
        <f>H19+H20+H21</f>
        <v>10026.570496663058</v>
      </c>
      <c r="B23" s="22" t="s">
        <v>84</v>
      </c>
      <c r="C23" s="22"/>
      <c r="D23" s="22"/>
      <c r="E23" s="22"/>
      <c r="F23" s="22"/>
      <c r="G23" s="22"/>
      <c r="H23" s="23">
        <f>(H19+H20+H21)*14.2%</f>
        <v>1423.7730105261542</v>
      </c>
      <c r="I23" s="22"/>
      <c r="J23" s="22">
        <v>781740.1</v>
      </c>
      <c r="K23" s="25"/>
      <c r="L23" s="70"/>
      <c r="M23" s="65" t="s">
        <v>85</v>
      </c>
      <c r="P23" s="65">
        <f>O23/2</f>
        <v>0</v>
      </c>
    </row>
    <row r="24" spans="1:16" ht="12.75">
      <c r="A24" s="22" t="s">
        <v>86</v>
      </c>
      <c r="B24" s="22"/>
      <c r="C24" s="22"/>
      <c r="D24" s="22"/>
      <c r="E24" s="22"/>
      <c r="F24" s="22"/>
      <c r="G24" s="22"/>
      <c r="H24" s="23"/>
      <c r="I24" s="22"/>
      <c r="J24" s="22">
        <v>113966.82</v>
      </c>
      <c r="K24" s="23"/>
      <c r="N24" s="65">
        <v>9</v>
      </c>
      <c r="O24" s="65">
        <v>1</v>
      </c>
      <c r="P24" s="65">
        <f>O24/2</f>
        <v>0.5</v>
      </c>
    </row>
    <row r="25" spans="1:16" ht="12.75">
      <c r="A25" s="113" t="s">
        <v>958</v>
      </c>
      <c r="B25" s="113"/>
      <c r="C25" s="113"/>
      <c r="D25" s="113"/>
      <c r="E25" s="113"/>
      <c r="F25" s="113"/>
      <c r="G25" s="22"/>
      <c r="H25" s="23">
        <f>0.057*O20</f>
        <v>244.7751</v>
      </c>
      <c r="I25" s="23"/>
      <c r="J25" s="22"/>
      <c r="K25" s="23"/>
      <c r="N25" s="65">
        <v>10</v>
      </c>
      <c r="P25" s="65">
        <f>O25/2</f>
        <v>0</v>
      </c>
    </row>
    <row r="26" spans="1:14" ht="12.75">
      <c r="A26" s="113" t="s">
        <v>959</v>
      </c>
      <c r="B26" s="113"/>
      <c r="C26" s="113"/>
      <c r="D26" s="113"/>
      <c r="E26" s="113"/>
      <c r="F26" s="113"/>
      <c r="G26" s="113"/>
      <c r="H26" s="23">
        <f>0.0085*O20</f>
        <v>36.50155</v>
      </c>
      <c r="I26" s="23"/>
      <c r="J26" s="22"/>
      <c r="K26" s="23"/>
      <c r="N26" s="65">
        <v>16</v>
      </c>
    </row>
    <row r="27" spans="1:11" ht="12.75">
      <c r="A27" s="113" t="s">
        <v>960</v>
      </c>
      <c r="B27" s="113"/>
      <c r="C27" s="113"/>
      <c r="D27" s="113"/>
      <c r="E27" s="113"/>
      <c r="F27" s="113"/>
      <c r="G27" s="113"/>
      <c r="H27" s="23">
        <f>0.0018*O20</f>
        <v>7.7297400000000005</v>
      </c>
      <c r="I27" s="23"/>
      <c r="J27" s="22"/>
      <c r="K27" s="23"/>
    </row>
    <row r="28" spans="1:13" ht="12.75">
      <c r="A28" s="113" t="s">
        <v>961</v>
      </c>
      <c r="B28" s="113"/>
      <c r="C28" s="113"/>
      <c r="D28" s="113"/>
      <c r="E28" s="113"/>
      <c r="F28" s="113"/>
      <c r="G28" s="113"/>
      <c r="H28" s="23">
        <f>O20*0.005</f>
        <v>21.471500000000002</v>
      </c>
      <c r="I28" s="22"/>
      <c r="J28" s="22"/>
      <c r="K28" s="23"/>
      <c r="M28" s="65" t="s">
        <v>90</v>
      </c>
    </row>
    <row r="29" spans="1:15" ht="12.75">
      <c r="A29" s="113" t="s">
        <v>962</v>
      </c>
      <c r="B29" s="113"/>
      <c r="C29" s="113"/>
      <c r="D29" s="113"/>
      <c r="E29" s="113"/>
      <c r="F29" s="113"/>
      <c r="G29" s="113"/>
      <c r="H29" s="23">
        <f>O20*0.017</f>
        <v>73.0031</v>
      </c>
      <c r="I29" s="22"/>
      <c r="J29" s="22">
        <v>13606.82</v>
      </c>
      <c r="K29" s="23"/>
      <c r="M29" s="65" t="s">
        <v>92</v>
      </c>
      <c r="O29" s="65">
        <v>57</v>
      </c>
    </row>
    <row r="30" spans="1:16" ht="12.75">
      <c r="A30" s="113" t="s">
        <v>963</v>
      </c>
      <c r="B30" s="113"/>
      <c r="C30" s="113"/>
      <c r="D30" s="113"/>
      <c r="E30" s="113"/>
      <c r="F30" s="113"/>
      <c r="G30" s="113"/>
      <c r="H30" s="23">
        <f>0.054*O20*1.058</f>
        <v>245.34194760000003</v>
      </c>
      <c r="I30" s="22"/>
      <c r="J30" s="22"/>
      <c r="K30" s="23"/>
      <c r="M30" s="65" t="s">
        <v>94</v>
      </c>
      <c r="O30" s="65">
        <v>1450</v>
      </c>
      <c r="P30" s="65" t="s">
        <v>964</v>
      </c>
    </row>
    <row r="31" spans="1:11" ht="12.75">
      <c r="A31" s="113"/>
      <c r="B31" s="113"/>
      <c r="C31" s="113"/>
      <c r="D31" s="113"/>
      <c r="E31" s="113"/>
      <c r="F31" s="113"/>
      <c r="G31" s="113"/>
      <c r="H31" s="23"/>
      <c r="I31" s="22"/>
      <c r="J31" s="22"/>
      <c r="K31" s="23"/>
    </row>
    <row r="32" spans="1:15" ht="15.75">
      <c r="A32" s="110" t="s">
        <v>95</v>
      </c>
      <c r="B32" s="110"/>
      <c r="C32" s="110"/>
      <c r="D32" s="110"/>
      <c r="E32" s="110"/>
      <c r="F32" s="20"/>
      <c r="G32" s="20"/>
      <c r="H32" s="27"/>
      <c r="I32" s="20"/>
      <c r="J32" s="20"/>
      <c r="K32" s="21">
        <f>H34+H35+H36+H37+H38+H39+H40+H41+H42+H43+H44+H45+H46</f>
        <v>10931.764643333334</v>
      </c>
      <c r="M32" s="65" t="s">
        <v>96</v>
      </c>
      <c r="O32" s="69">
        <f>K293</f>
        <v>1.3458272024902567</v>
      </c>
    </row>
    <row r="33" spans="1:11" ht="12.75">
      <c r="A33" s="22"/>
      <c r="B33" s="22" t="s">
        <v>64</v>
      </c>
      <c r="C33" s="22"/>
      <c r="D33" s="22"/>
      <c r="E33" s="22"/>
      <c r="F33" s="22"/>
      <c r="G33" s="22"/>
      <c r="H33" s="28"/>
      <c r="I33" s="22"/>
      <c r="J33" s="22"/>
      <c r="K33" s="29"/>
    </row>
    <row r="34" spans="1:11" ht="12.75">
      <c r="A34" s="113" t="s">
        <v>965</v>
      </c>
      <c r="B34" s="113"/>
      <c r="C34" s="113"/>
      <c r="D34" s="113"/>
      <c r="E34" s="113"/>
      <c r="F34" s="113"/>
      <c r="G34" s="113"/>
      <c r="H34" s="28">
        <f>(O21*1.5)/12*90.3*1.058</f>
        <v>3869.2647</v>
      </c>
      <c r="I34" s="22"/>
      <c r="J34" s="22"/>
      <c r="K34" s="29"/>
    </row>
    <row r="35" spans="1:12" ht="12.75">
      <c r="A35" s="113" t="s">
        <v>966</v>
      </c>
      <c r="B35" s="113"/>
      <c r="C35" s="113"/>
      <c r="D35" s="113"/>
      <c r="E35" s="113"/>
      <c r="F35" s="113"/>
      <c r="G35" s="113"/>
      <c r="H35" s="28">
        <f>O21*1.5*33.1/12*1.058</f>
        <v>1418.3019</v>
      </c>
      <c r="I35" s="22"/>
      <c r="J35" s="22"/>
      <c r="K35" s="29"/>
      <c r="L35" s="65">
        <f>1.16*O20</f>
        <v>4981.388</v>
      </c>
    </row>
    <row r="36" spans="1:11" ht="12.75">
      <c r="A36" s="113" t="s">
        <v>967</v>
      </c>
      <c r="B36" s="113"/>
      <c r="C36" s="113"/>
      <c r="D36" s="113"/>
      <c r="E36" s="113"/>
      <c r="F36" s="113"/>
      <c r="G36" s="113"/>
      <c r="H36" s="28">
        <f>O30*2.48</f>
        <v>3596</v>
      </c>
      <c r="I36" s="22"/>
      <c r="J36" s="22"/>
      <c r="K36" s="29"/>
    </row>
    <row r="37" spans="1:11" ht="12.75">
      <c r="A37" s="113" t="s">
        <v>968</v>
      </c>
      <c r="B37" s="113"/>
      <c r="C37" s="113"/>
      <c r="D37" s="113"/>
      <c r="E37" s="113"/>
      <c r="F37" s="113"/>
      <c r="G37" s="113"/>
      <c r="H37" s="28">
        <f>O20*0.028</f>
        <v>120.24040000000001</v>
      </c>
      <c r="I37" s="22"/>
      <c r="J37" s="22"/>
      <c r="K37" s="29"/>
    </row>
    <row r="38" spans="1:11" ht="12.75">
      <c r="A38" s="113" t="s">
        <v>969</v>
      </c>
      <c r="B38" s="113"/>
      <c r="C38" s="113"/>
      <c r="D38" s="113"/>
      <c r="E38" s="113"/>
      <c r="F38" s="113"/>
      <c r="G38" s="113"/>
      <c r="H38" s="28">
        <f>O20*0.0027</f>
        <v>11.594610000000001</v>
      </c>
      <c r="I38" s="22"/>
      <c r="J38" s="22"/>
      <c r="K38" s="29"/>
    </row>
    <row r="39" spans="1:11" ht="12.75">
      <c r="A39" s="113" t="s">
        <v>970</v>
      </c>
      <c r="B39" s="113"/>
      <c r="C39" s="113"/>
      <c r="D39" s="113"/>
      <c r="E39" s="24"/>
      <c r="F39" s="24"/>
      <c r="G39" s="24"/>
      <c r="H39" s="28">
        <f>O20*0.216</f>
        <v>927.5688</v>
      </c>
      <c r="I39" s="22"/>
      <c r="J39" s="22"/>
      <c r="K39" s="29"/>
    </row>
    <row r="40" spans="1:11" ht="12.75">
      <c r="A40" s="113" t="s">
        <v>911</v>
      </c>
      <c r="B40" s="113"/>
      <c r="C40" s="113"/>
      <c r="D40" s="113"/>
      <c r="E40" s="113"/>
      <c r="F40" s="113"/>
      <c r="G40" s="113"/>
      <c r="H40" s="28">
        <f>O29*4.81/12</f>
        <v>22.847499999999997</v>
      </c>
      <c r="I40" s="22"/>
      <c r="J40" s="22"/>
      <c r="K40" s="29"/>
    </row>
    <row r="41" spans="1:15" ht="12.75">
      <c r="A41" s="113" t="s">
        <v>971</v>
      </c>
      <c r="B41" s="113"/>
      <c r="C41" s="113"/>
      <c r="D41" s="113"/>
      <c r="E41" s="113"/>
      <c r="F41" s="113"/>
      <c r="G41" s="113"/>
      <c r="H41" s="28">
        <f>80*O41/12/3</f>
        <v>373.3333333333333</v>
      </c>
      <c r="I41" s="22"/>
      <c r="J41" s="22"/>
      <c r="K41" s="29"/>
      <c r="M41" s="65" t="s">
        <v>972</v>
      </c>
      <c r="O41" s="65">
        <v>168</v>
      </c>
    </row>
    <row r="42" spans="1:11" ht="12.75">
      <c r="A42" s="113" t="s">
        <v>973</v>
      </c>
      <c r="B42" s="113"/>
      <c r="C42" s="113"/>
      <c r="D42" s="113"/>
      <c r="E42" s="113"/>
      <c r="F42" s="113"/>
      <c r="G42" s="113"/>
      <c r="H42" s="28">
        <f>O20*0.027</f>
        <v>115.9461</v>
      </c>
      <c r="I42" s="22"/>
      <c r="J42" s="32"/>
      <c r="K42" s="29"/>
    </row>
    <row r="43" spans="1:11" ht="12.75">
      <c r="A43" s="113" t="s">
        <v>974</v>
      </c>
      <c r="B43" s="113"/>
      <c r="C43" s="113"/>
      <c r="D43" s="113"/>
      <c r="E43" s="113"/>
      <c r="F43" s="113"/>
      <c r="G43" s="113"/>
      <c r="H43" s="28">
        <f>O20*0.022</f>
        <v>94.4746</v>
      </c>
      <c r="I43" s="22"/>
      <c r="J43" s="22"/>
      <c r="K43" s="29"/>
    </row>
    <row r="44" spans="1:11" ht="12.75">
      <c r="A44" s="113" t="s">
        <v>975</v>
      </c>
      <c r="B44" s="113"/>
      <c r="C44" s="113"/>
      <c r="D44" s="113"/>
      <c r="E44" s="113"/>
      <c r="F44" s="113"/>
      <c r="G44" s="113"/>
      <c r="H44" s="28">
        <f>O20*0.022</f>
        <v>94.4746</v>
      </c>
      <c r="I44" s="22"/>
      <c r="J44" s="22"/>
      <c r="K44" s="29"/>
    </row>
    <row r="45" spans="1:11" ht="12.75">
      <c r="A45" s="113" t="s">
        <v>976</v>
      </c>
      <c r="B45" s="113"/>
      <c r="C45" s="113"/>
      <c r="D45" s="113"/>
      <c r="E45" s="113"/>
      <c r="F45" s="113"/>
      <c r="G45" s="24"/>
      <c r="H45" s="28">
        <f>O20*0.053</f>
        <v>227.5979</v>
      </c>
      <c r="I45" s="22"/>
      <c r="J45" s="22"/>
      <c r="K45" s="29"/>
    </row>
    <row r="46" spans="1:11" ht="12.75">
      <c r="A46" s="113" t="s">
        <v>977</v>
      </c>
      <c r="B46" s="113"/>
      <c r="C46" s="113"/>
      <c r="D46" s="113"/>
      <c r="E46" s="113"/>
      <c r="F46" s="113"/>
      <c r="G46" s="24"/>
      <c r="H46" s="28">
        <f>O20*0.014</f>
        <v>60.120200000000004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5.75">
      <c r="A48" s="86" t="s">
        <v>148</v>
      </c>
      <c r="B48" s="86"/>
      <c r="C48" s="86"/>
      <c r="D48" s="86"/>
      <c r="E48" s="86"/>
      <c r="F48" s="86"/>
      <c r="G48" s="86"/>
      <c r="H48" s="87"/>
      <c r="I48" s="88"/>
      <c r="J48" s="88">
        <v>9460.05</v>
      </c>
      <c r="K48" s="89">
        <f>H50+H51+H52+H53+H54</f>
        <v>9146.938254901961</v>
      </c>
    </row>
    <row r="49" spans="1:11" ht="12.75">
      <c r="A49" s="24"/>
      <c r="B49" s="24" t="s">
        <v>64</v>
      </c>
      <c r="C49" s="24"/>
      <c r="D49" s="24"/>
      <c r="E49" s="24"/>
      <c r="F49" s="24"/>
      <c r="G49" s="24"/>
      <c r="H49" s="28"/>
      <c r="I49" s="22"/>
      <c r="J49" s="22"/>
      <c r="K49" s="29"/>
    </row>
    <row r="50" spans="1:13" ht="12.75">
      <c r="A50" s="113" t="s">
        <v>978</v>
      </c>
      <c r="B50" s="113"/>
      <c r="C50" s="113"/>
      <c r="D50" s="113"/>
      <c r="E50" s="113"/>
      <c r="F50" s="113"/>
      <c r="G50" s="24"/>
      <c r="H50" s="28">
        <f>O20*2.07</f>
        <v>8889.201</v>
      </c>
      <c r="I50" s="22"/>
      <c r="J50" s="22"/>
      <c r="K50" s="29"/>
      <c r="M50" s="65">
        <v>18024</v>
      </c>
    </row>
    <row r="51" spans="1:11" ht="12.75">
      <c r="A51" s="113" t="s">
        <v>748</v>
      </c>
      <c r="B51" s="113"/>
      <c r="C51" s="113"/>
      <c r="D51" s="113"/>
      <c r="E51" s="113"/>
      <c r="F51" s="113"/>
      <c r="G51" s="24"/>
      <c r="H51" s="28">
        <f>1380*1/12</f>
        <v>115</v>
      </c>
      <c r="I51" s="22"/>
      <c r="J51" s="22"/>
      <c r="K51" s="29"/>
    </row>
    <row r="52" spans="1:11" ht="12.75">
      <c r="A52" s="113" t="s">
        <v>749</v>
      </c>
      <c r="B52" s="113"/>
      <c r="C52" s="113"/>
      <c r="D52" s="113"/>
      <c r="E52" s="113"/>
      <c r="F52" s="113"/>
      <c r="G52" s="113"/>
      <c r="H52" s="28">
        <f>1567*1/12</f>
        <v>130.58333333333334</v>
      </c>
      <c r="I52" s="22"/>
      <c r="J52" s="22"/>
      <c r="K52" s="29"/>
    </row>
    <row r="53" spans="1:11" ht="12.75">
      <c r="A53" s="113" t="s">
        <v>860</v>
      </c>
      <c r="B53" s="113"/>
      <c r="C53" s="113"/>
      <c r="D53" s="113"/>
      <c r="E53" s="113"/>
      <c r="F53" s="113"/>
      <c r="G53" s="113"/>
      <c r="H53" s="28">
        <f>56.4*1/2/12</f>
        <v>2.35</v>
      </c>
      <c r="I53" s="22"/>
      <c r="J53" s="22"/>
      <c r="K53" s="29"/>
    </row>
    <row r="54" spans="1:11" ht="12.75">
      <c r="A54" s="24" t="s">
        <v>340</v>
      </c>
      <c r="B54" s="24"/>
      <c r="C54" s="24"/>
      <c r="D54" s="24"/>
      <c r="E54" s="24"/>
      <c r="F54" s="24"/>
      <c r="G54" s="24"/>
      <c r="H54" s="28">
        <f>10000/85*1/12</f>
        <v>9.80392156862745</v>
      </c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3" ht="15.75">
      <c r="A56" s="20" t="s">
        <v>111</v>
      </c>
      <c r="B56" s="20"/>
      <c r="C56" s="20"/>
      <c r="D56" s="20"/>
      <c r="E56" s="20"/>
      <c r="F56" s="20"/>
      <c r="G56" s="20"/>
      <c r="H56" s="27"/>
      <c r="I56" s="20"/>
      <c r="J56" s="20"/>
      <c r="K56" s="21">
        <f>H59+H61+H62+H63+H64+H65+H66+H67+H69+H70</f>
        <v>14784.458692341279</v>
      </c>
      <c r="M56" s="71">
        <f>K56/309084*O20</f>
        <v>205.40985933442417</v>
      </c>
    </row>
    <row r="57" spans="1:11" ht="12.75">
      <c r="A57" s="22"/>
      <c r="B57" s="22" t="s">
        <v>64</v>
      </c>
      <c r="C57" s="22"/>
      <c r="D57" s="22"/>
      <c r="E57" s="22"/>
      <c r="F57" s="22"/>
      <c r="G57" s="22"/>
      <c r="H57" s="28"/>
      <c r="I57" s="22"/>
      <c r="J57" s="22"/>
      <c r="K57" s="29"/>
    </row>
    <row r="58" spans="1:11" ht="12.75">
      <c r="A58" s="33" t="s">
        <v>112</v>
      </c>
      <c r="B58" s="33"/>
      <c r="C58" s="33"/>
      <c r="D58" s="33"/>
      <c r="E58" s="33"/>
      <c r="F58" s="33"/>
      <c r="G58" s="33"/>
      <c r="H58" s="34"/>
      <c r="I58" s="33"/>
      <c r="J58" s="33"/>
      <c r="K58" s="35"/>
    </row>
    <row r="59" spans="1:13" ht="12.75">
      <c r="A59" s="111" t="s">
        <v>979</v>
      </c>
      <c r="B59" s="111"/>
      <c r="C59" s="111"/>
      <c r="D59" s="111"/>
      <c r="E59" s="111"/>
      <c r="F59" s="111"/>
      <c r="G59" s="36"/>
      <c r="H59" s="37">
        <f>K293*24.48*165.1*1.5*1.07</f>
        <v>8730.172513170997</v>
      </c>
      <c r="I59" s="38"/>
      <c r="J59" s="38"/>
      <c r="K59" s="35"/>
      <c r="M59" s="69">
        <f>K293</f>
        <v>1.3458272024902567</v>
      </c>
    </row>
    <row r="60" spans="1:11" ht="12.75">
      <c r="A60" s="33" t="s">
        <v>114</v>
      </c>
      <c r="B60" s="33"/>
      <c r="C60" s="33"/>
      <c r="D60" s="33"/>
      <c r="E60" s="33"/>
      <c r="F60" s="33"/>
      <c r="G60" s="33"/>
      <c r="H60" s="34"/>
      <c r="I60" s="33"/>
      <c r="J60" s="33"/>
      <c r="K60" s="35"/>
    </row>
    <row r="61" spans="1:11" ht="12.75">
      <c r="A61" s="39">
        <f>H59</f>
        <v>8730.172513170997</v>
      </c>
      <c r="B61" s="36" t="s">
        <v>115</v>
      </c>
      <c r="C61" s="36"/>
      <c r="D61" s="36"/>
      <c r="E61" s="36"/>
      <c r="F61" s="36"/>
      <c r="G61" s="38"/>
      <c r="H61" s="37">
        <f>H59*14.2%</f>
        <v>1239.6844968702815</v>
      </c>
      <c r="I61" s="38"/>
      <c r="J61" s="38"/>
      <c r="K61" s="35"/>
    </row>
    <row r="62" spans="1:11" ht="12.75">
      <c r="A62" s="30" t="s">
        <v>86</v>
      </c>
      <c r="B62" s="30"/>
      <c r="C62" s="30"/>
      <c r="D62" s="30"/>
      <c r="E62" s="30"/>
      <c r="F62" s="40"/>
      <c r="G62" s="40"/>
      <c r="H62" s="37">
        <f>0.04*O20</f>
        <v>171.77200000000002</v>
      </c>
      <c r="I62" s="38"/>
      <c r="J62" s="38"/>
      <c r="K62" s="35"/>
    </row>
    <row r="63" spans="1:11" ht="12.75">
      <c r="A63" s="108" t="s">
        <v>116</v>
      </c>
      <c r="B63" s="108"/>
      <c r="C63" s="108"/>
      <c r="D63" s="108"/>
      <c r="E63" s="108"/>
      <c r="F63" s="108"/>
      <c r="G63" s="108"/>
      <c r="H63" s="37">
        <f>0.97*O20</f>
        <v>4165.4710000000005</v>
      </c>
      <c r="I63" s="38"/>
      <c r="J63" s="38"/>
      <c r="K63" s="35"/>
    </row>
    <row r="64" spans="1:11" ht="12.75">
      <c r="A64" s="108" t="s">
        <v>980</v>
      </c>
      <c r="B64" s="108"/>
      <c r="C64" s="108"/>
      <c r="D64" s="108"/>
      <c r="E64" s="108"/>
      <c r="F64" s="30"/>
      <c r="G64" s="30"/>
      <c r="H64" s="37">
        <f>0.0037*O20</f>
        <v>15.888910000000001</v>
      </c>
      <c r="I64" s="38"/>
      <c r="J64" s="38"/>
      <c r="K64" s="35"/>
    </row>
    <row r="65" spans="1:12" ht="12.75">
      <c r="A65" s="108" t="s">
        <v>981</v>
      </c>
      <c r="B65" s="108"/>
      <c r="C65" s="108"/>
      <c r="D65" s="108"/>
      <c r="E65" s="108"/>
      <c r="F65" s="108"/>
      <c r="G65" s="108"/>
      <c r="H65" s="37">
        <f>O20*0.082</f>
        <v>352.1326</v>
      </c>
      <c r="I65" s="38"/>
      <c r="J65" s="38"/>
      <c r="K65" s="35"/>
      <c r="L65" s="69"/>
    </row>
    <row r="66" spans="1:13" ht="12.75">
      <c r="A66" s="108" t="s">
        <v>982</v>
      </c>
      <c r="B66" s="108"/>
      <c r="C66" s="108"/>
      <c r="D66" s="108"/>
      <c r="E66" s="108"/>
      <c r="F66" s="108"/>
      <c r="G66" s="108"/>
      <c r="H66" s="31">
        <f>O20*0.023*1.107</f>
        <v>109.3371723</v>
      </c>
      <c r="I66" s="33"/>
      <c r="J66" s="33"/>
      <c r="K66" s="35"/>
      <c r="M66" s="65">
        <f>36646.37/309083*O20</f>
        <v>509.1529029128099</v>
      </c>
    </row>
    <row r="67" spans="1:11" ht="12.75">
      <c r="A67" s="41" t="s">
        <v>120</v>
      </c>
      <c r="B67" s="41"/>
      <c r="C67" s="41"/>
      <c r="D67" s="41"/>
      <c r="E67" s="40"/>
      <c r="F67" s="40"/>
      <c r="G67" s="40"/>
      <c r="H67" s="31"/>
      <c r="I67" s="38"/>
      <c r="J67" s="38"/>
      <c r="K67" s="35"/>
    </row>
    <row r="68" spans="1:11" ht="12.75" customHeight="1" hidden="1">
      <c r="A68" s="38"/>
      <c r="B68" s="38"/>
      <c r="C68" s="38"/>
      <c r="D68" s="40"/>
      <c r="E68" s="40"/>
      <c r="F68" s="40"/>
      <c r="G68" s="40"/>
      <c r="H68" s="121"/>
      <c r="I68" s="40"/>
      <c r="J68" s="40"/>
      <c r="K68" s="122"/>
    </row>
    <row r="69" spans="1:11" ht="12.75">
      <c r="A69" s="38" t="s">
        <v>568</v>
      </c>
      <c r="B69" s="38"/>
      <c r="C69" s="38"/>
      <c r="D69" s="40"/>
      <c r="E69" s="40"/>
      <c r="F69" s="40"/>
      <c r="G69" s="38"/>
      <c r="H69" s="37"/>
      <c r="I69" s="40"/>
      <c r="J69" s="40"/>
      <c r="K69" s="122"/>
    </row>
    <row r="70" spans="1:11" ht="12.75">
      <c r="A70" s="38" t="s">
        <v>377</v>
      </c>
      <c r="B70" s="38"/>
      <c r="C70" s="38"/>
      <c r="D70" s="40"/>
      <c r="E70" s="40"/>
      <c r="F70" s="40"/>
      <c r="G70" s="38"/>
      <c r="H70" s="37"/>
      <c r="I70" s="40"/>
      <c r="J70" s="40"/>
      <c r="K70" s="122"/>
    </row>
    <row r="71" spans="1:11" ht="12.75">
      <c r="A71" s="38"/>
      <c r="B71" s="38"/>
      <c r="C71" s="38"/>
      <c r="D71" s="40"/>
      <c r="E71" s="40"/>
      <c r="F71" s="40"/>
      <c r="G71" s="38"/>
      <c r="H71" s="37"/>
      <c r="I71" s="40"/>
      <c r="J71" s="40"/>
      <c r="K71" s="122"/>
    </row>
    <row r="72" spans="1:13" ht="15.75">
      <c r="A72" s="110" t="s">
        <v>121</v>
      </c>
      <c r="B72" s="110"/>
      <c r="C72" s="110"/>
      <c r="D72" s="110"/>
      <c r="E72" s="42"/>
      <c r="F72" s="42"/>
      <c r="G72" s="20"/>
      <c r="H72" s="27"/>
      <c r="I72" s="20"/>
      <c r="J72" s="20"/>
      <c r="K72" s="21">
        <f>H74+H75+H76+H77</f>
        <v>3490.83647</v>
      </c>
      <c r="M72" s="72">
        <f>51932.37/301083*O20</f>
        <v>740.7033159992427</v>
      </c>
    </row>
    <row r="73" spans="1:11" ht="12.75">
      <c r="A73" s="111" t="s">
        <v>122</v>
      </c>
      <c r="B73" s="111"/>
      <c r="C73" s="111"/>
      <c r="D73" s="111"/>
      <c r="E73" s="111"/>
      <c r="F73" s="111"/>
      <c r="G73" s="36"/>
      <c r="H73" s="37"/>
      <c r="I73" s="36"/>
      <c r="J73" s="36"/>
      <c r="K73" s="35"/>
    </row>
    <row r="74" spans="1:11" ht="12.75">
      <c r="A74" s="36" t="s">
        <v>983</v>
      </c>
      <c r="B74" s="36"/>
      <c r="C74" s="36"/>
      <c r="D74" s="36"/>
      <c r="E74" s="36"/>
      <c r="F74" s="36"/>
      <c r="G74" s="36"/>
      <c r="H74" s="37">
        <f>0.2227*O20</f>
        <v>956.3406100000001</v>
      </c>
      <c r="I74" s="36"/>
      <c r="J74" s="36"/>
      <c r="K74" s="35"/>
    </row>
    <row r="75" spans="1:11" ht="12.75">
      <c r="A75" s="30" t="s">
        <v>984</v>
      </c>
      <c r="B75" s="43"/>
      <c r="C75" s="30"/>
      <c r="D75" s="30"/>
      <c r="E75" s="44"/>
      <c r="F75" s="38"/>
      <c r="G75" s="38"/>
      <c r="H75" s="37">
        <f>0.0257*O20</f>
        <v>110.36351</v>
      </c>
      <c r="I75" s="38"/>
      <c r="J75" s="38"/>
      <c r="K75" s="35"/>
    </row>
    <row r="76" spans="1:11" ht="12.75">
      <c r="A76" s="111" t="s">
        <v>985</v>
      </c>
      <c r="B76" s="111"/>
      <c r="C76" s="111"/>
      <c r="D76" s="111"/>
      <c r="E76" s="111"/>
      <c r="F76" s="38"/>
      <c r="G76" s="38"/>
      <c r="H76" s="37">
        <f>0.0945*O20</f>
        <v>405.81135</v>
      </c>
      <c r="I76" s="38"/>
      <c r="J76" s="38"/>
      <c r="K76" s="35"/>
    </row>
    <row r="77" spans="1:11" ht="12.75">
      <c r="A77" s="36" t="s">
        <v>986</v>
      </c>
      <c r="B77" s="36"/>
      <c r="C77" s="36"/>
      <c r="D77" s="36"/>
      <c r="E77" s="36"/>
      <c r="F77" s="38"/>
      <c r="G77" s="38"/>
      <c r="H77" s="37">
        <f>0.47*O20</f>
        <v>2018.321</v>
      </c>
      <c r="I77" s="38"/>
      <c r="J77" s="38"/>
      <c r="K77" s="45"/>
    </row>
    <row r="78" spans="1:11" ht="12.75">
      <c r="A78" s="30"/>
      <c r="B78" s="30"/>
      <c r="C78" s="30"/>
      <c r="D78" s="30"/>
      <c r="E78" s="30"/>
      <c r="F78" s="30"/>
      <c r="G78" s="30"/>
      <c r="H78" s="37"/>
      <c r="I78" s="38"/>
      <c r="J78" s="38"/>
      <c r="K78" s="35"/>
    </row>
    <row r="79" spans="1:13" ht="15.75">
      <c r="A79" s="26" t="s">
        <v>127</v>
      </c>
      <c r="B79" s="26"/>
      <c r="C79" s="26"/>
      <c r="D79" s="26"/>
      <c r="E79" s="26"/>
      <c r="F79" s="26"/>
      <c r="G79" s="26"/>
      <c r="H79" s="46"/>
      <c r="I79" s="20"/>
      <c r="J79" s="20"/>
      <c r="K79" s="21">
        <f>O20*0.94</f>
        <v>4036.642</v>
      </c>
      <c r="M79" s="71">
        <f>231179.9/309083*O20</f>
        <v>3211.9393320564377</v>
      </c>
    </row>
    <row r="80" spans="1:11" ht="15.75">
      <c r="A80" s="47"/>
      <c r="B80" s="47"/>
      <c r="C80" s="112" t="s">
        <v>64</v>
      </c>
      <c r="D80" s="112"/>
      <c r="E80" s="47"/>
      <c r="F80" s="47"/>
      <c r="G80" s="47"/>
      <c r="H80" s="48"/>
      <c r="I80" s="47"/>
      <c r="J80" s="47"/>
      <c r="K80" s="49"/>
    </row>
    <row r="81" spans="1:11" ht="12.75">
      <c r="A81" s="30" t="s">
        <v>128</v>
      </c>
      <c r="B81" s="30"/>
      <c r="C81" s="30"/>
      <c r="D81" s="30"/>
      <c r="E81" s="30"/>
      <c r="F81" s="30"/>
      <c r="G81" s="30"/>
      <c r="H81" s="37"/>
      <c r="I81" s="38"/>
      <c r="J81" s="38"/>
      <c r="K81" s="35"/>
    </row>
    <row r="82" spans="1:11" ht="12.75">
      <c r="A82" s="30" t="s">
        <v>129</v>
      </c>
      <c r="B82" s="43"/>
      <c r="C82" s="30"/>
      <c r="D82" s="30"/>
      <c r="E82" s="30"/>
      <c r="F82" s="44"/>
      <c r="G82" s="44"/>
      <c r="H82" s="37"/>
      <c r="I82" s="38"/>
      <c r="J82" s="38"/>
      <c r="K82" s="35"/>
    </row>
    <row r="83" spans="1:11" ht="12.75">
      <c r="A83" s="108" t="s">
        <v>130</v>
      </c>
      <c r="B83" s="108"/>
      <c r="C83" s="108"/>
      <c r="D83" s="108"/>
      <c r="E83" s="108"/>
      <c r="F83" s="108"/>
      <c r="G83" s="44"/>
      <c r="H83" s="37"/>
      <c r="I83" s="38"/>
      <c r="J83" s="38"/>
      <c r="K83" s="35"/>
    </row>
    <row r="84" spans="1:11" ht="12.75">
      <c r="A84" s="108" t="s">
        <v>131</v>
      </c>
      <c r="B84" s="108"/>
      <c r="C84" s="108"/>
      <c r="D84" s="108"/>
      <c r="E84" s="108"/>
      <c r="F84" s="108"/>
      <c r="G84" s="108"/>
      <c r="H84" s="37"/>
      <c r="I84" s="38"/>
      <c r="J84" s="38"/>
      <c r="K84" s="35"/>
    </row>
    <row r="85" spans="1:11" ht="12.75">
      <c r="A85" s="108" t="s">
        <v>132</v>
      </c>
      <c r="B85" s="108"/>
      <c r="C85" s="108"/>
      <c r="D85" s="108"/>
      <c r="E85" s="109"/>
      <c r="F85" s="109"/>
      <c r="G85" s="109"/>
      <c r="H85" s="37"/>
      <c r="I85" s="38"/>
      <c r="J85" s="38"/>
      <c r="K85" s="35"/>
    </row>
    <row r="86" spans="1:11" ht="12.75">
      <c r="A86" s="108" t="s">
        <v>133</v>
      </c>
      <c r="B86" s="108"/>
      <c r="C86" s="108"/>
      <c r="D86" s="108"/>
      <c r="E86" s="108"/>
      <c r="F86" s="44"/>
      <c r="G86" s="44"/>
      <c r="H86" s="37"/>
      <c r="I86" s="38"/>
      <c r="J86" s="38"/>
      <c r="K86" s="35"/>
    </row>
    <row r="87" spans="1:14" ht="12.75">
      <c r="A87" s="44" t="s">
        <v>134</v>
      </c>
      <c r="B87" s="44"/>
      <c r="C87" s="44"/>
      <c r="D87" s="44"/>
      <c r="E87" s="44"/>
      <c r="F87" s="44"/>
      <c r="G87" s="44"/>
      <c r="H87" s="37"/>
      <c r="I87" s="38"/>
      <c r="J87" s="38"/>
      <c r="K87" s="35"/>
      <c r="N87" s="69">
        <f>K17+K32+K48+K56+K72+K79</f>
        <v>54462.07676536579</v>
      </c>
    </row>
    <row r="88" spans="1:14" ht="12.75">
      <c r="A88" s="22"/>
      <c r="B88" s="22"/>
      <c r="C88" s="22"/>
      <c r="D88" s="22"/>
      <c r="E88" s="22"/>
      <c r="F88" s="22"/>
      <c r="G88" s="22"/>
      <c r="H88" s="28"/>
      <c r="I88" s="22"/>
      <c r="J88" s="22"/>
      <c r="K88" s="29"/>
      <c r="N88" s="65" t="e">
        <f>#REF!*97%</f>
        <v>#REF!</v>
      </c>
    </row>
    <row r="89" spans="1:14" ht="15.75">
      <c r="A89" s="20" t="s">
        <v>135</v>
      </c>
      <c r="B89" s="20"/>
      <c r="C89" s="20"/>
      <c r="D89" s="20"/>
      <c r="E89" s="20"/>
      <c r="F89" s="51"/>
      <c r="G89" s="51"/>
      <c r="H89" s="52"/>
      <c r="I89" s="51"/>
      <c r="J89" s="51"/>
      <c r="K89" s="21">
        <f>0.0205*O20</f>
        <v>88.03315</v>
      </c>
      <c r="L89" s="72">
        <f>K89/309084*O20</f>
        <v>1.223100374153952</v>
      </c>
      <c r="M89" s="72">
        <f>L89/309084*P20</f>
        <v>0</v>
      </c>
      <c r="N89" s="65" t="e">
        <f>(N88-N87)*0.15</f>
        <v>#REF!</v>
      </c>
    </row>
    <row r="90" spans="1:13" ht="15.75">
      <c r="A90" s="54"/>
      <c r="B90" s="54"/>
      <c r="C90" s="54"/>
      <c r="D90" s="54"/>
      <c r="E90" s="54"/>
      <c r="F90" s="53"/>
      <c r="G90" s="53"/>
      <c r="H90" s="55"/>
      <c r="I90" s="53"/>
      <c r="J90" s="53"/>
      <c r="K90" s="56"/>
      <c r="L90" s="72"/>
      <c r="M90" s="72"/>
    </row>
    <row r="91" spans="1:11" ht="15.75">
      <c r="A91" s="57" t="s">
        <v>673</v>
      </c>
      <c r="B91" s="57"/>
      <c r="C91" s="57"/>
      <c r="D91" s="58"/>
      <c r="E91" s="58"/>
      <c r="F91" s="58"/>
      <c r="G91" s="58"/>
      <c r="H91" s="59"/>
      <c r="I91" s="58"/>
      <c r="J91" s="58"/>
      <c r="K91" s="64">
        <f>K15*0.06</f>
        <v>3273.006594921948</v>
      </c>
    </row>
    <row r="92" spans="1:11" ht="15.75">
      <c r="A92" s="57"/>
      <c r="B92" s="57"/>
      <c r="C92" s="57"/>
      <c r="D92" s="58"/>
      <c r="E92" s="58"/>
      <c r="F92" s="58"/>
      <c r="G92" s="58"/>
      <c r="H92" s="59"/>
      <c r="I92" s="58"/>
      <c r="J92" s="58"/>
      <c r="K92" s="64"/>
    </row>
    <row r="93" spans="1:11" ht="15.75">
      <c r="A93" s="63" t="s">
        <v>137</v>
      </c>
      <c r="B93" s="63"/>
      <c r="C93" s="63"/>
      <c r="D93" s="63"/>
      <c r="E93" s="63"/>
      <c r="F93" s="63"/>
      <c r="G93" s="63"/>
      <c r="H93" s="63"/>
      <c r="I93" s="63"/>
      <c r="J93" s="63"/>
      <c r="K93" s="64">
        <f>K91+K15</f>
        <v>57823.11651028775</v>
      </c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 t="s">
        <v>138</v>
      </c>
      <c r="B95" s="63"/>
      <c r="C95" s="63"/>
      <c r="D95" s="63"/>
      <c r="E95" s="63"/>
      <c r="F95" s="63"/>
      <c r="G95" s="63"/>
      <c r="H95" s="63"/>
      <c r="I95" s="63"/>
      <c r="J95" s="63"/>
      <c r="K95" s="64">
        <f>K93/O20</f>
        <v>13.465085464519886</v>
      </c>
    </row>
    <row r="96" spans="1:11" ht="15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t="15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4"/>
    </row>
    <row r="98" spans="1:11" ht="15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4"/>
    </row>
    <row r="99" ht="15.75" customHeight="1"/>
    <row r="100" ht="15.75" customHeight="1"/>
    <row r="105" spans="3:9" s="65" customFormat="1" ht="15.75">
      <c r="C105" s="106" t="s">
        <v>139</v>
      </c>
      <c r="D105" s="107"/>
      <c r="E105" s="107"/>
      <c r="F105" s="107"/>
      <c r="G105" s="107"/>
      <c r="H105" s="107"/>
      <c r="I105" s="107"/>
    </row>
    <row r="106" spans="3:9" s="65" customFormat="1" ht="15.75">
      <c r="C106" s="74" t="s">
        <v>140</v>
      </c>
      <c r="D106" s="74" t="s">
        <v>141</v>
      </c>
      <c r="E106" s="74"/>
      <c r="F106" s="74"/>
      <c r="G106" s="75"/>
      <c r="H106" s="75"/>
      <c r="I106" s="75"/>
    </row>
    <row r="107" s="65" customFormat="1" ht="12.75"/>
    <row r="108" s="65" customFormat="1" ht="12.75">
      <c r="E108" s="65" t="s">
        <v>142</v>
      </c>
    </row>
    <row r="109" spans="5:8" s="65" customFormat="1" ht="12.75">
      <c r="E109" s="65" t="s">
        <v>143</v>
      </c>
      <c r="H109" s="65">
        <v>1200</v>
      </c>
    </row>
    <row r="110" spans="5:8" s="65" customFormat="1" ht="12.75">
      <c r="E110" s="65" t="s">
        <v>144</v>
      </c>
      <c r="H110" s="65">
        <v>1324</v>
      </c>
    </row>
    <row r="111" spans="5:8" s="65" customFormat="1" ht="12.75">
      <c r="E111" s="65" t="s">
        <v>145</v>
      </c>
      <c r="H111" s="65">
        <v>332</v>
      </c>
    </row>
    <row r="112" spans="5:8" s="65" customFormat="1" ht="12.75">
      <c r="E112" s="65" t="s">
        <v>146</v>
      </c>
      <c r="H112" s="65">
        <v>5351.8</v>
      </c>
    </row>
    <row r="113" s="65" customFormat="1" ht="12.75"/>
    <row r="114" spans="1:11" s="65" customFormat="1" ht="15.75">
      <c r="A114" s="105" t="s">
        <v>72</v>
      </c>
      <c r="B114" s="105"/>
      <c r="C114" s="105"/>
      <c r="D114" s="105"/>
      <c r="E114" s="105"/>
      <c r="F114" s="105"/>
      <c r="G114" s="105"/>
      <c r="H114" s="76" t="e">
        <f>H116+H118+H120+H122+H124+H126+H128</f>
        <v>#REF!</v>
      </c>
      <c r="I114" s="77" t="s">
        <v>70</v>
      </c>
      <c r="K114" s="78" t="e">
        <f>H114-20000</f>
        <v>#REF!</v>
      </c>
    </row>
    <row r="115" spans="1:7" s="65" customFormat="1" ht="12.75">
      <c r="A115" s="79"/>
      <c r="B115" s="79"/>
      <c r="C115" s="79"/>
      <c r="D115" s="79"/>
      <c r="E115" s="79"/>
      <c r="F115" s="79"/>
      <c r="G115" s="79"/>
    </row>
    <row r="116" spans="1:8" s="65" customFormat="1" ht="15.75">
      <c r="A116" s="80" t="s">
        <v>147</v>
      </c>
      <c r="B116" s="80"/>
      <c r="C116" s="80"/>
      <c r="D116" s="80"/>
      <c r="E116" s="80"/>
      <c r="F116" s="80"/>
      <c r="G116" s="80"/>
      <c r="H116" s="78">
        <f>K17</f>
        <v>12071.436704789214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78"/>
    </row>
    <row r="118" spans="1:8" s="65" customFormat="1" ht="15.75">
      <c r="A118" s="105" t="s">
        <v>95</v>
      </c>
      <c r="B118" s="105"/>
      <c r="C118" s="105"/>
      <c r="D118" s="105"/>
      <c r="E118" s="105"/>
      <c r="F118" s="80"/>
      <c r="G118" s="80"/>
      <c r="H118" s="78">
        <f>K32</f>
        <v>10931.764643333334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78"/>
    </row>
    <row r="120" spans="1:8" s="65" customFormat="1" ht="15.75">
      <c r="A120" s="105" t="s">
        <v>148</v>
      </c>
      <c r="B120" s="105"/>
      <c r="C120" s="105"/>
      <c r="D120" s="105"/>
      <c r="E120" s="105"/>
      <c r="F120" s="105"/>
      <c r="G120" s="105"/>
      <c r="H120" s="81" t="e">
        <f>#REF!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111</v>
      </c>
      <c r="B122" s="80"/>
      <c r="C122" s="80"/>
      <c r="D122" s="80"/>
      <c r="E122" s="80"/>
      <c r="F122" s="80"/>
      <c r="G122" s="80"/>
      <c r="H122" s="82">
        <f>M56</f>
        <v>205.40985933442417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105" t="s">
        <v>149</v>
      </c>
      <c r="B124" s="105"/>
      <c r="C124" s="105"/>
      <c r="D124" s="105"/>
      <c r="E124" s="80"/>
      <c r="F124" s="80"/>
      <c r="G124" s="80"/>
      <c r="H124" s="81">
        <f>M72</f>
        <v>740.7033159992427</v>
      </c>
    </row>
    <row r="125" spans="1:8" s="65" customFormat="1" ht="12.75">
      <c r="A125" s="79"/>
      <c r="B125" s="79"/>
      <c r="C125" s="79"/>
      <c r="D125" s="79"/>
      <c r="E125" s="79"/>
      <c r="F125" s="79"/>
      <c r="G125" s="79"/>
      <c r="H125" s="82"/>
    </row>
    <row r="126" spans="1:8" s="65" customFormat="1" ht="15.75">
      <c r="A126" s="83" t="s">
        <v>127</v>
      </c>
      <c r="B126" s="83"/>
      <c r="C126" s="83"/>
      <c r="D126" s="83"/>
      <c r="E126" s="83"/>
      <c r="F126" s="83"/>
      <c r="G126" s="83"/>
      <c r="H126" s="81">
        <f>M79</f>
        <v>3211.9393320564377</v>
      </c>
    </row>
    <row r="127" spans="1:8" s="65" customFormat="1" ht="12.75">
      <c r="A127" s="79"/>
      <c r="B127" s="79"/>
      <c r="C127" s="79"/>
      <c r="D127" s="79"/>
      <c r="E127" s="79"/>
      <c r="F127" s="79"/>
      <c r="G127" s="79"/>
      <c r="H127" s="82"/>
    </row>
    <row r="128" spans="1:8" s="65" customFormat="1" ht="15.75">
      <c r="A128" s="80" t="s">
        <v>150</v>
      </c>
      <c r="B128" s="80"/>
      <c r="C128" s="80"/>
      <c r="D128" s="80"/>
      <c r="E128" s="80"/>
      <c r="F128" s="84"/>
      <c r="G128" s="84"/>
      <c r="H128" s="81">
        <f>L89</f>
        <v>1.223100374153952</v>
      </c>
    </row>
    <row r="129" s="65" customFormat="1" ht="12.75"/>
    <row r="130" s="65" customFormat="1" ht="12.75"/>
    <row r="131" s="65" customFormat="1" ht="12.75">
      <c r="H131" s="65" t="s">
        <v>151</v>
      </c>
    </row>
    <row r="132" s="65" customFormat="1" ht="12.75">
      <c r="H132" s="65" t="s">
        <v>146</v>
      </c>
    </row>
    <row r="133" s="65" customFormat="1" ht="12.75">
      <c r="H133" s="65" t="s">
        <v>152</v>
      </c>
    </row>
    <row r="134" s="65" customFormat="1" ht="12.75"/>
    <row r="135" s="65" customFormat="1" ht="12.75"/>
    <row r="136" s="65" customFormat="1" ht="12.75">
      <c r="F136" s="65" t="s">
        <v>153</v>
      </c>
    </row>
    <row r="137" s="65" customFormat="1" ht="12.75">
      <c r="D137" s="65" t="s">
        <v>154</v>
      </c>
    </row>
    <row r="138" s="65" customFormat="1" ht="12.75">
      <c r="D138" s="65" t="s">
        <v>155</v>
      </c>
    </row>
    <row r="139" spans="6:13" s="65" customFormat="1" ht="12.75">
      <c r="F139" s="65" t="s">
        <v>156</v>
      </c>
      <c r="M139" s="65" t="s">
        <v>157</v>
      </c>
    </row>
    <row r="140" s="65" customFormat="1" ht="12.75">
      <c r="M140" s="65" t="s">
        <v>158</v>
      </c>
    </row>
    <row r="141" spans="1:14" s="65" customFormat="1" ht="12.75">
      <c r="A141" s="65" t="s">
        <v>159</v>
      </c>
      <c r="B141" s="65" t="s">
        <v>160</v>
      </c>
      <c r="D141" s="65" t="s">
        <v>161</v>
      </c>
      <c r="F141" s="65" t="s">
        <v>162</v>
      </c>
      <c r="G141" s="65" t="s">
        <v>163</v>
      </c>
      <c r="H141" s="65" t="s">
        <v>164</v>
      </c>
      <c r="J141" s="65" t="s">
        <v>165</v>
      </c>
      <c r="M141" s="73" t="s">
        <v>166</v>
      </c>
      <c r="N141" s="65">
        <v>4798.1</v>
      </c>
    </row>
    <row r="142" spans="1:13" s="65" customFormat="1" ht="12.75">
      <c r="A142" s="65" t="s">
        <v>167</v>
      </c>
      <c r="B142" s="65" t="s">
        <v>168</v>
      </c>
      <c r="D142" s="65" t="s">
        <v>169</v>
      </c>
      <c r="F142" s="65" t="s">
        <v>170</v>
      </c>
      <c r="G142" s="65" t="s">
        <v>171</v>
      </c>
      <c r="H142" s="65" t="s">
        <v>172</v>
      </c>
      <c r="J142" s="65" t="s">
        <v>173</v>
      </c>
      <c r="M142" s="65" t="s">
        <v>174</v>
      </c>
    </row>
    <row r="143" spans="8:9" s="65" customFormat="1" ht="12.75">
      <c r="H143" s="65" t="s">
        <v>175</v>
      </c>
      <c r="I143" s="65" t="s">
        <v>176</v>
      </c>
    </row>
    <row r="144" spans="8:13" s="65" customFormat="1" ht="12.75">
      <c r="H144" s="65" t="s">
        <v>170</v>
      </c>
      <c r="I144" s="65" t="s">
        <v>177</v>
      </c>
      <c r="M144" s="65" t="s">
        <v>178</v>
      </c>
    </row>
    <row r="145" spans="9:13" s="65" customFormat="1" ht="12.75">
      <c r="I145" s="65" t="s">
        <v>179</v>
      </c>
      <c r="M145" s="65" t="s">
        <v>158</v>
      </c>
    </row>
    <row r="146" spans="13:14" s="65" customFormat="1" ht="12.75">
      <c r="M146" s="73" t="s">
        <v>166</v>
      </c>
      <c r="N146" s="65">
        <v>740.5</v>
      </c>
    </row>
    <row r="147" spans="1:13" s="65" customFormat="1" ht="12.75">
      <c r="A147" s="65" t="s">
        <v>180</v>
      </c>
      <c r="B147" s="65" t="s">
        <v>181</v>
      </c>
      <c r="D147" s="65" t="s">
        <v>182</v>
      </c>
      <c r="M147" s="65" t="s">
        <v>174</v>
      </c>
    </row>
    <row r="148" spans="2:4" s="65" customFormat="1" ht="12.75">
      <c r="B148" s="65" t="s">
        <v>183</v>
      </c>
      <c r="D148" s="65" t="s">
        <v>184</v>
      </c>
    </row>
    <row r="149" spans="2:13" s="65" customFormat="1" ht="12.75">
      <c r="B149" s="65" t="s">
        <v>185</v>
      </c>
      <c r="D149" s="65" t="s">
        <v>186</v>
      </c>
      <c r="M149" s="65" t="s">
        <v>187</v>
      </c>
    </row>
    <row r="150" spans="2:13" s="65" customFormat="1" ht="12.75">
      <c r="B150" s="65" t="s">
        <v>188</v>
      </c>
      <c r="D150" s="65" t="s">
        <v>189</v>
      </c>
      <c r="M150" s="65" t="s">
        <v>158</v>
      </c>
    </row>
    <row r="151" spans="2:14" s="65" customFormat="1" ht="12.75">
      <c r="B151" s="65" t="s">
        <v>190</v>
      </c>
      <c r="M151" s="73" t="s">
        <v>166</v>
      </c>
      <c r="N151" s="65">
        <v>1258.9</v>
      </c>
    </row>
    <row r="152" spans="4:13" s="65" customFormat="1" ht="12.75">
      <c r="D152" s="65" t="s">
        <v>191</v>
      </c>
      <c r="M152" s="65" t="s">
        <v>174</v>
      </c>
    </row>
    <row r="153" spans="4:6" s="65" customFormat="1" ht="12.75">
      <c r="D153" s="65" t="s">
        <v>192</v>
      </c>
      <c r="F153" s="65" t="s">
        <v>193</v>
      </c>
    </row>
    <row r="154" spans="4:13" s="65" customFormat="1" ht="12.75">
      <c r="D154" s="65" t="s">
        <v>158</v>
      </c>
      <c r="F154" s="65" t="s">
        <v>194</v>
      </c>
      <c r="H154" s="65">
        <v>0.0687</v>
      </c>
      <c r="I154" s="65">
        <v>0</v>
      </c>
      <c r="K154" s="65">
        <f>N145/1000*H154</f>
        <v>0</v>
      </c>
      <c r="M154" s="65" t="s">
        <v>195</v>
      </c>
    </row>
    <row r="155" spans="4:13" s="65" customFormat="1" ht="12.75">
      <c r="D155" s="65" t="s">
        <v>196</v>
      </c>
      <c r="F155" s="65" t="s">
        <v>197</v>
      </c>
      <c r="H155" s="65">
        <v>0.0763</v>
      </c>
      <c r="I155" s="65">
        <v>0</v>
      </c>
      <c r="K155" s="65">
        <f>N146/1000*H155</f>
        <v>0.056500150000000006</v>
      </c>
      <c r="M155" s="65" t="s">
        <v>158</v>
      </c>
    </row>
    <row r="156" spans="4:13" s="65" customFormat="1" ht="12.75">
      <c r="D156" s="65" t="s">
        <v>198</v>
      </c>
      <c r="F156" s="65" t="s">
        <v>199</v>
      </c>
      <c r="H156" s="65">
        <v>0.0839</v>
      </c>
      <c r="I156" s="65">
        <v>0</v>
      </c>
      <c r="K156" s="69">
        <f>N147/1000*H156</f>
        <v>0</v>
      </c>
      <c r="M156" s="73" t="s">
        <v>166</v>
      </c>
    </row>
    <row r="157" spans="6:13" s="65" customFormat="1" ht="12.75">
      <c r="F157" s="65" t="s">
        <v>200</v>
      </c>
      <c r="M157" s="65" t="s">
        <v>174</v>
      </c>
    </row>
    <row r="158" s="65" customFormat="1" ht="12.75">
      <c r="F158" s="65" t="s">
        <v>190</v>
      </c>
    </row>
    <row r="159" spans="5:9" s="65" customFormat="1" ht="12.75">
      <c r="E159" s="65" t="s">
        <v>201</v>
      </c>
      <c r="I159" s="65">
        <v>0</v>
      </c>
    </row>
    <row r="160" spans="2:4" s="65" customFormat="1" ht="12.75">
      <c r="B160" s="65" t="s">
        <v>202</v>
      </c>
      <c r="D160" s="65" t="s">
        <v>203</v>
      </c>
    </row>
    <row r="161" s="65" customFormat="1" ht="12.75">
      <c r="D161" s="65" t="s">
        <v>204</v>
      </c>
    </row>
    <row r="162" s="65" customFormat="1" ht="12.75">
      <c r="D162" s="65" t="s">
        <v>205</v>
      </c>
    </row>
    <row r="163" s="65" customFormat="1" ht="12.75">
      <c r="D163" s="65" t="s">
        <v>191</v>
      </c>
    </row>
    <row r="164" spans="4:11" s="65" customFormat="1" ht="12.75">
      <c r="D164" s="65" t="s">
        <v>158</v>
      </c>
      <c r="H164" s="65">
        <v>0.00338</v>
      </c>
      <c r="K164" s="69">
        <f>N168/1000*H164</f>
        <v>0</v>
      </c>
    </row>
    <row r="165" spans="4:11" s="65" customFormat="1" ht="12.75">
      <c r="D165" s="65" t="s">
        <v>196</v>
      </c>
      <c r="H165" s="65">
        <v>0.00376</v>
      </c>
      <c r="K165" s="69">
        <f>N169/1000*H165</f>
        <v>0.018040856</v>
      </c>
    </row>
    <row r="166" spans="4:11" s="65" customFormat="1" ht="12.75">
      <c r="D166" s="65" t="s">
        <v>198</v>
      </c>
      <c r="H166" s="65">
        <v>0.00414</v>
      </c>
      <c r="K166" s="69">
        <f>N170/1000*H166</f>
        <v>0</v>
      </c>
    </row>
    <row r="167" s="65" customFormat="1" ht="12.75">
      <c r="M167" s="65" t="s">
        <v>206</v>
      </c>
    </row>
    <row r="168" spans="1:13" s="65" customFormat="1" ht="12.75">
      <c r="A168" s="65" t="s">
        <v>207</v>
      </c>
      <c r="B168" s="65" t="s">
        <v>208</v>
      </c>
      <c r="D168" s="65" t="s">
        <v>203</v>
      </c>
      <c r="M168" s="65" t="s">
        <v>158</v>
      </c>
    </row>
    <row r="169" spans="4:14" s="65" customFormat="1" ht="12.75">
      <c r="D169" s="65" t="s">
        <v>209</v>
      </c>
      <c r="M169" s="73" t="s">
        <v>166</v>
      </c>
      <c r="N169" s="65">
        <f>N141</f>
        <v>4798.1</v>
      </c>
    </row>
    <row r="170" spans="4:13" s="65" customFormat="1" ht="12.75">
      <c r="D170" s="65" t="s">
        <v>191</v>
      </c>
      <c r="M170" s="65" t="s">
        <v>174</v>
      </c>
    </row>
    <row r="171" spans="4:11" s="65" customFormat="1" ht="12.75">
      <c r="D171" s="65" t="s">
        <v>158</v>
      </c>
      <c r="H171" s="65">
        <v>0.02043</v>
      </c>
      <c r="I171" s="65">
        <v>0</v>
      </c>
      <c r="K171" s="65">
        <f>N155/1000*H171</f>
        <v>0</v>
      </c>
    </row>
    <row r="172" spans="4:13" s="65" customFormat="1" ht="12.75">
      <c r="D172" s="65" t="s">
        <v>196</v>
      </c>
      <c r="H172" s="65">
        <v>0.0227</v>
      </c>
      <c r="I172" s="65">
        <v>0</v>
      </c>
      <c r="K172" s="65">
        <f>N156/1000*H172</f>
        <v>0</v>
      </c>
      <c r="M172" s="65" t="s">
        <v>210</v>
      </c>
    </row>
    <row r="173" spans="4:13" s="65" customFormat="1" ht="12.75">
      <c r="D173" s="65" t="s">
        <v>198</v>
      </c>
      <c r="H173" s="65">
        <v>0.02497</v>
      </c>
      <c r="I173" s="65">
        <v>0</v>
      </c>
      <c r="K173" s="65">
        <f>N157/1000*H173</f>
        <v>0</v>
      </c>
      <c r="M173" s="65" t="s">
        <v>158</v>
      </c>
    </row>
    <row r="174" spans="4:14" s="65" customFormat="1" ht="12.75">
      <c r="D174" s="65" t="s">
        <v>211</v>
      </c>
      <c r="M174" s="73" t="s">
        <v>166</v>
      </c>
      <c r="N174" s="65">
        <v>168</v>
      </c>
    </row>
    <row r="175" spans="4:13" s="65" customFormat="1" ht="12.75">
      <c r="D175" s="65" t="s">
        <v>191</v>
      </c>
      <c r="M175" s="65" t="s">
        <v>174</v>
      </c>
    </row>
    <row r="176" spans="4:6" s="65" customFormat="1" ht="12.75">
      <c r="D176" s="65" t="s">
        <v>192</v>
      </c>
      <c r="F176" s="65" t="s">
        <v>193</v>
      </c>
    </row>
    <row r="177" spans="4:11" s="65" customFormat="1" ht="12.75">
      <c r="D177" s="65" t="s">
        <v>158</v>
      </c>
      <c r="H177" s="65">
        <v>0.00999</v>
      </c>
      <c r="K177" s="69">
        <f>N140/1000*H177</f>
        <v>0</v>
      </c>
    </row>
    <row r="178" spans="4:11" s="65" customFormat="1" ht="12.75">
      <c r="D178" s="65" t="s">
        <v>196</v>
      </c>
      <c r="H178" s="65">
        <v>0.0111</v>
      </c>
      <c r="K178" s="69">
        <f>N141/1000*H178</f>
        <v>0.05325891000000001</v>
      </c>
    </row>
    <row r="179" spans="4:11" s="65" customFormat="1" ht="12.75">
      <c r="D179" s="65" t="s">
        <v>198</v>
      </c>
      <c r="H179" s="65">
        <v>0.01221</v>
      </c>
      <c r="I179" s="65">
        <v>0</v>
      </c>
      <c r="K179" s="69">
        <f>N142/1000*H179</f>
        <v>0</v>
      </c>
    </row>
    <row r="180" s="65" customFormat="1" ht="12.75">
      <c r="I180" s="65">
        <v>0</v>
      </c>
    </row>
    <row r="181" spans="5:9" s="65" customFormat="1" ht="12.75">
      <c r="E181" s="65" t="s">
        <v>201</v>
      </c>
      <c r="G181" s="65">
        <v>0</v>
      </c>
      <c r="I181" s="65">
        <v>0</v>
      </c>
    </row>
    <row r="182" spans="1:6" s="65" customFormat="1" ht="12.75">
      <c r="A182" s="65" t="s">
        <v>212</v>
      </c>
      <c r="B182" s="65" t="s">
        <v>213</v>
      </c>
      <c r="D182" s="65" t="s">
        <v>203</v>
      </c>
      <c r="F182" s="65" t="s">
        <v>193</v>
      </c>
    </row>
    <row r="183" spans="2:6" s="65" customFormat="1" ht="12.75">
      <c r="B183" s="65" t="s">
        <v>214</v>
      </c>
      <c r="D183" s="65" t="s">
        <v>209</v>
      </c>
      <c r="F183" s="65" t="s">
        <v>215</v>
      </c>
    </row>
    <row r="184" spans="4:6" s="65" customFormat="1" ht="12.75">
      <c r="D184" s="65" t="s">
        <v>191</v>
      </c>
      <c r="F184" s="65" t="s">
        <v>216</v>
      </c>
    </row>
    <row r="185" spans="4:11" s="65" customFormat="1" ht="12.75">
      <c r="D185" s="65" t="s">
        <v>158</v>
      </c>
      <c r="H185" s="65">
        <v>0.018432</v>
      </c>
      <c r="I185" s="65">
        <v>0</v>
      </c>
      <c r="K185" s="65">
        <f>N155/1000*H185</f>
        <v>0</v>
      </c>
    </row>
    <row r="186" spans="4:11" s="65" customFormat="1" ht="12.75">
      <c r="D186" s="65" t="s">
        <v>196</v>
      </c>
      <c r="H186" s="65">
        <v>0.02048</v>
      </c>
      <c r="I186" s="65">
        <v>0</v>
      </c>
      <c r="K186" s="65">
        <f>N156/1000*H186</f>
        <v>0</v>
      </c>
    </row>
    <row r="187" spans="4:11" s="65" customFormat="1" ht="12.75">
      <c r="D187" s="65" t="s">
        <v>198</v>
      </c>
      <c r="K187" s="65">
        <f>N157/1000*H187</f>
        <v>0</v>
      </c>
    </row>
    <row r="188" s="65" customFormat="1" ht="12.75">
      <c r="D188" s="65" t="s">
        <v>211</v>
      </c>
    </row>
    <row r="189" s="65" customFormat="1" ht="12.75">
      <c r="D189" s="65" t="s">
        <v>191</v>
      </c>
    </row>
    <row r="190" s="65" customFormat="1" ht="12.75">
      <c r="D190" s="65" t="s">
        <v>192</v>
      </c>
    </row>
    <row r="191" spans="4:11" s="65" customFormat="1" ht="12.75">
      <c r="D191" s="65" t="s">
        <v>158</v>
      </c>
      <c r="K191" s="69">
        <f>N140/1000*H191</f>
        <v>0</v>
      </c>
    </row>
    <row r="192" spans="4:11" s="65" customFormat="1" ht="12.75">
      <c r="D192" s="65" t="s">
        <v>196</v>
      </c>
      <c r="H192" s="65">
        <v>0.02295</v>
      </c>
      <c r="I192" s="65">
        <v>0</v>
      </c>
      <c r="K192" s="69">
        <f>N141/1000*H192</f>
        <v>0.11011639500000002</v>
      </c>
    </row>
    <row r="193" spans="4:11" s="65" customFormat="1" ht="12.75">
      <c r="D193" s="65" t="s">
        <v>198</v>
      </c>
      <c r="H193" s="65">
        <v>0.025245</v>
      </c>
      <c r="I193" s="65">
        <v>0</v>
      </c>
      <c r="K193" s="69">
        <f>N142/1000*H193</f>
        <v>0</v>
      </c>
    </row>
    <row r="194" spans="5:11" s="65" customFormat="1" ht="12.75">
      <c r="E194" s="65" t="s">
        <v>201</v>
      </c>
      <c r="G194" s="65">
        <v>0</v>
      </c>
      <c r="I194" s="65">
        <v>0</v>
      </c>
      <c r="K194" s="69"/>
    </row>
    <row r="195" s="65" customFormat="1" ht="12.75">
      <c r="K195" s="69"/>
    </row>
    <row r="196" spans="1:11" s="65" customFormat="1" ht="12.75">
      <c r="A196" s="65" t="s">
        <v>217</v>
      </c>
      <c r="B196" s="65" t="s">
        <v>218</v>
      </c>
      <c r="D196" s="65" t="s">
        <v>203</v>
      </c>
      <c r="K196" s="69"/>
    </row>
    <row r="197" spans="4:11" s="65" customFormat="1" ht="12.75">
      <c r="D197" s="65" t="s">
        <v>209</v>
      </c>
      <c r="K197" s="69"/>
    </row>
    <row r="198" spans="4:11" s="65" customFormat="1" ht="12.75">
      <c r="D198" s="65" t="s">
        <v>191</v>
      </c>
      <c r="K198" s="69"/>
    </row>
    <row r="199" spans="4:11" s="65" customFormat="1" ht="12.75">
      <c r="D199" s="65" t="s">
        <v>158</v>
      </c>
      <c r="H199" s="65">
        <v>0.027585</v>
      </c>
      <c r="I199" s="65">
        <v>0</v>
      </c>
      <c r="K199" s="69">
        <f>N155/1000*H199</f>
        <v>0</v>
      </c>
    </row>
    <row r="200" spans="4:11" s="65" customFormat="1" ht="12.75">
      <c r="D200" s="65" t="s">
        <v>196</v>
      </c>
      <c r="H200" s="65">
        <v>0.3065</v>
      </c>
      <c r="I200" s="65">
        <v>0</v>
      </c>
      <c r="K200" s="69">
        <f>N156/1000*H200</f>
        <v>0</v>
      </c>
    </row>
    <row r="201" spans="4:11" s="65" customFormat="1" ht="12.75">
      <c r="D201" s="65" t="s">
        <v>198</v>
      </c>
      <c r="K201" s="69">
        <f>N157/1000*H201</f>
        <v>0</v>
      </c>
    </row>
    <row r="202" spans="4:11" s="65" customFormat="1" ht="12.75">
      <c r="D202" s="65" t="s">
        <v>211</v>
      </c>
      <c r="K202" s="69"/>
    </row>
    <row r="203" spans="4:11" s="65" customFormat="1" ht="12.75">
      <c r="D203" s="65" t="s">
        <v>191</v>
      </c>
      <c r="K203" s="69"/>
    </row>
    <row r="204" spans="4:11" s="65" customFormat="1" ht="12.75">
      <c r="D204" s="65" t="s">
        <v>192</v>
      </c>
      <c r="K204" s="69"/>
    </row>
    <row r="205" spans="4:11" s="65" customFormat="1" ht="12.75">
      <c r="D205" s="65" t="s">
        <v>158</v>
      </c>
      <c r="K205" s="69">
        <f>N140/1000*H205</f>
        <v>0</v>
      </c>
    </row>
    <row r="206" spans="4:11" s="65" customFormat="1" ht="12.75">
      <c r="D206" s="65" t="s">
        <v>196</v>
      </c>
      <c r="H206" s="65">
        <v>0.00539</v>
      </c>
      <c r="I206" s="65">
        <v>0</v>
      </c>
      <c r="K206" s="69">
        <f>N141/1000*H206</f>
        <v>0.025861759</v>
      </c>
    </row>
    <row r="207" spans="4:11" s="65" customFormat="1" ht="12.75">
      <c r="D207" s="65" t="s">
        <v>198</v>
      </c>
      <c r="H207" s="65">
        <v>0.005929</v>
      </c>
      <c r="I207" s="65">
        <v>0</v>
      </c>
      <c r="K207" s="69">
        <f>N142/1000*H207</f>
        <v>0</v>
      </c>
    </row>
    <row r="208" spans="5:11" s="65" customFormat="1" ht="12.75">
      <c r="E208" s="65" t="s">
        <v>201</v>
      </c>
      <c r="G208" s="65">
        <v>0</v>
      </c>
      <c r="I208" s="65">
        <v>0</v>
      </c>
      <c r="K208" s="69"/>
    </row>
    <row r="209" s="65" customFormat="1" ht="12.75">
      <c r="K209" s="69"/>
    </row>
    <row r="210" spans="1:11" s="65" customFormat="1" ht="12.75">
      <c r="A210" s="65" t="s">
        <v>219</v>
      </c>
      <c r="B210" s="65" t="s">
        <v>220</v>
      </c>
      <c r="D210" s="65" t="s">
        <v>203</v>
      </c>
      <c r="K210" s="69"/>
    </row>
    <row r="211" spans="2:11" s="65" customFormat="1" ht="12.75">
      <c r="B211" s="65" t="s">
        <v>214</v>
      </c>
      <c r="D211" s="65" t="s">
        <v>209</v>
      </c>
      <c r="K211" s="69"/>
    </row>
    <row r="212" spans="4:11" s="65" customFormat="1" ht="12.75">
      <c r="D212" s="65" t="s">
        <v>191</v>
      </c>
      <c r="K212" s="69"/>
    </row>
    <row r="213" spans="4:11" s="65" customFormat="1" ht="12.75">
      <c r="D213" s="65" t="s">
        <v>158</v>
      </c>
      <c r="H213" s="65">
        <v>0.022437</v>
      </c>
      <c r="I213" s="65">
        <v>0</v>
      </c>
      <c r="K213" s="69">
        <f>N155/1000*H213</f>
        <v>0</v>
      </c>
    </row>
    <row r="214" spans="4:11" s="65" customFormat="1" ht="12.75">
      <c r="D214" s="65" t="s">
        <v>196</v>
      </c>
      <c r="H214" s="65">
        <v>0.02493</v>
      </c>
      <c r="I214" s="65">
        <v>0</v>
      </c>
      <c r="K214" s="69">
        <f>N156/1000*H214</f>
        <v>0</v>
      </c>
    </row>
    <row r="215" spans="4:11" s="65" customFormat="1" ht="12.75">
      <c r="D215" s="65" t="s">
        <v>198</v>
      </c>
      <c r="K215" s="65">
        <f>N157/1000*H215</f>
        <v>0</v>
      </c>
    </row>
    <row r="216" s="65" customFormat="1" ht="12.75">
      <c r="D216" s="65" t="s">
        <v>211</v>
      </c>
    </row>
    <row r="217" s="65" customFormat="1" ht="12.75">
      <c r="D217" s="65" t="s">
        <v>191</v>
      </c>
    </row>
    <row r="218" s="65" customFormat="1" ht="12.75">
      <c r="D218" s="65" t="s">
        <v>192</v>
      </c>
    </row>
    <row r="219" spans="4:11" s="65" customFormat="1" ht="12.75">
      <c r="D219" s="65" t="s">
        <v>158</v>
      </c>
      <c r="K219" s="69">
        <f>N140/1000*H219</f>
        <v>0</v>
      </c>
    </row>
    <row r="220" spans="4:11" s="65" customFormat="1" ht="12.75">
      <c r="D220" s="65" t="s">
        <v>196</v>
      </c>
      <c r="H220" s="65">
        <v>0.00888</v>
      </c>
      <c r="I220" s="65">
        <v>0</v>
      </c>
      <c r="K220" s="69">
        <f>N141/1000*H220</f>
        <v>0.04260712800000001</v>
      </c>
    </row>
    <row r="221" spans="4:11" s="65" customFormat="1" ht="12.75">
      <c r="D221" s="65" t="s">
        <v>198</v>
      </c>
      <c r="H221" s="65">
        <v>0.009768</v>
      </c>
      <c r="I221" s="65">
        <v>0</v>
      </c>
      <c r="K221" s="69">
        <f>N142/1000*H221</f>
        <v>0</v>
      </c>
    </row>
    <row r="222" spans="5:11" s="65" customFormat="1" ht="12.75">
      <c r="E222" s="65" t="s">
        <v>201</v>
      </c>
      <c r="G222" s="65">
        <v>0</v>
      </c>
      <c r="I222" s="65">
        <v>0</v>
      </c>
      <c r="K222" s="69"/>
    </row>
    <row r="223" s="65" customFormat="1" ht="12.75">
      <c r="K223" s="69"/>
    </row>
    <row r="224" spans="2:4" s="65" customFormat="1" ht="12.75">
      <c r="B224" s="65" t="s">
        <v>221</v>
      </c>
      <c r="D224" s="65" t="s">
        <v>203</v>
      </c>
    </row>
    <row r="225" s="65" customFormat="1" ht="12.75">
      <c r="D225" s="65" t="s">
        <v>204</v>
      </c>
    </row>
    <row r="226" s="65" customFormat="1" ht="12.75">
      <c r="D226" s="65" t="s">
        <v>205</v>
      </c>
    </row>
    <row r="227" s="65" customFormat="1" ht="12.75">
      <c r="D227" s="65" t="s">
        <v>191</v>
      </c>
    </row>
    <row r="228" spans="4:11" s="65" customFormat="1" ht="12.75">
      <c r="D228" s="65" t="s">
        <v>158</v>
      </c>
      <c r="H228" s="65">
        <v>0.0243</v>
      </c>
      <c r="K228" s="69">
        <f>N168/1000*H228</f>
        <v>0</v>
      </c>
    </row>
    <row r="229" spans="4:11" s="65" customFormat="1" ht="12.75">
      <c r="D229" s="65" t="s">
        <v>196</v>
      </c>
      <c r="H229" s="65">
        <v>0.027</v>
      </c>
      <c r="K229" s="69">
        <f>N169/1000*H229</f>
        <v>0.12954870000000002</v>
      </c>
    </row>
    <row r="230" spans="4:11" s="65" customFormat="1" ht="12.75">
      <c r="D230" s="65" t="s">
        <v>198</v>
      </c>
      <c r="H230" s="65">
        <v>0.0297</v>
      </c>
      <c r="K230" s="69">
        <f>N170/1000*H230</f>
        <v>0</v>
      </c>
    </row>
    <row r="231" spans="1:11" s="65" customFormat="1" ht="12.75">
      <c r="A231" s="65" t="s">
        <v>222</v>
      </c>
      <c r="B231" s="65" t="s">
        <v>223</v>
      </c>
      <c r="D231" s="65" t="s">
        <v>203</v>
      </c>
      <c r="K231" s="69"/>
    </row>
    <row r="232" spans="4:11" s="65" customFormat="1" ht="12.75">
      <c r="D232" s="65" t="s">
        <v>209</v>
      </c>
      <c r="K232" s="69"/>
    </row>
    <row r="233" spans="4:11" s="65" customFormat="1" ht="12.75">
      <c r="D233" s="65" t="s">
        <v>191</v>
      </c>
      <c r="K233" s="69"/>
    </row>
    <row r="234" spans="4:11" s="65" customFormat="1" ht="12.75">
      <c r="D234" s="65" t="s">
        <v>158</v>
      </c>
      <c r="H234" s="65">
        <v>0.01773</v>
      </c>
      <c r="I234" s="65">
        <v>0</v>
      </c>
      <c r="K234" s="69">
        <f>N155/1000*H234</f>
        <v>0</v>
      </c>
    </row>
    <row r="235" spans="4:11" s="65" customFormat="1" ht="12.75">
      <c r="D235" s="65" t="s">
        <v>196</v>
      </c>
      <c r="H235" s="65">
        <v>0.0197</v>
      </c>
      <c r="I235" s="65">
        <v>0</v>
      </c>
      <c r="K235" s="69">
        <f>N156/1000*H235</f>
        <v>0</v>
      </c>
    </row>
    <row r="236" spans="4:11" s="65" customFormat="1" ht="12.75">
      <c r="D236" s="65" t="s">
        <v>198</v>
      </c>
      <c r="K236" s="69">
        <f>N157/1000*H236</f>
        <v>0</v>
      </c>
    </row>
    <row r="237" spans="4:11" s="65" customFormat="1" ht="12.75">
      <c r="D237" s="65" t="s">
        <v>211</v>
      </c>
      <c r="K237" s="69"/>
    </row>
    <row r="238" spans="4:11" s="65" customFormat="1" ht="12.75">
      <c r="D238" s="65" t="s">
        <v>191</v>
      </c>
      <c r="K238" s="69"/>
    </row>
    <row r="239" spans="4:11" s="65" customFormat="1" ht="12.75">
      <c r="D239" s="65" t="s">
        <v>192</v>
      </c>
      <c r="K239" s="69"/>
    </row>
    <row r="240" spans="4:11" s="65" customFormat="1" ht="12.75">
      <c r="D240" s="65" t="s">
        <v>158</v>
      </c>
      <c r="K240" s="69">
        <f>N140/1000*H240</f>
        <v>0</v>
      </c>
    </row>
    <row r="241" spans="4:11" s="65" customFormat="1" ht="12.75">
      <c r="D241" s="65" t="s">
        <v>196</v>
      </c>
      <c r="H241" s="65">
        <v>0.0018</v>
      </c>
      <c r="I241" s="65">
        <v>0</v>
      </c>
      <c r="K241" s="69">
        <f>N141/1000*H241</f>
        <v>0.008636580000000001</v>
      </c>
    </row>
    <row r="242" spans="4:11" s="65" customFormat="1" ht="12.75">
      <c r="D242" s="65" t="s">
        <v>198</v>
      </c>
      <c r="H242" s="65">
        <v>0.00198</v>
      </c>
      <c r="I242" s="65">
        <v>0</v>
      </c>
      <c r="K242" s="69">
        <f>N142/1000*H242</f>
        <v>0</v>
      </c>
    </row>
    <row r="243" spans="5:11" s="65" customFormat="1" ht="12.75">
      <c r="E243" s="65" t="s">
        <v>201</v>
      </c>
      <c r="G243" s="65">
        <v>0</v>
      </c>
      <c r="I243" s="65">
        <v>0</v>
      </c>
      <c r="K243" s="69"/>
    </row>
    <row r="244" s="65" customFormat="1" ht="12.75">
      <c r="K244" s="69"/>
    </row>
    <row r="245" spans="2:7" s="65" customFormat="1" ht="12.75">
      <c r="B245" s="65" t="s">
        <v>224</v>
      </c>
      <c r="D245" s="65" t="s">
        <v>203</v>
      </c>
      <c r="G245" s="65" t="s">
        <v>225</v>
      </c>
    </row>
    <row r="246" spans="4:7" s="65" customFormat="1" ht="12.75">
      <c r="D246" s="65" t="s">
        <v>204</v>
      </c>
      <c r="G246" s="65" t="s">
        <v>226</v>
      </c>
    </row>
    <row r="247" spans="4:7" s="65" customFormat="1" ht="12.75">
      <c r="D247" s="65" t="s">
        <v>205</v>
      </c>
      <c r="G247" s="65" t="s">
        <v>227</v>
      </c>
    </row>
    <row r="248" s="65" customFormat="1" ht="12.75">
      <c r="D248" s="65" t="s">
        <v>191</v>
      </c>
    </row>
    <row r="249" spans="4:11" s="65" customFormat="1" ht="12.75">
      <c r="D249" s="65" t="s">
        <v>158</v>
      </c>
      <c r="H249" s="65">
        <v>0.02367</v>
      </c>
      <c r="K249" s="69">
        <f>N150/1000*H249</f>
        <v>0</v>
      </c>
    </row>
    <row r="250" spans="4:11" s="65" customFormat="1" ht="12.75">
      <c r="D250" s="65" t="s">
        <v>196</v>
      </c>
      <c r="H250" s="65">
        <v>0.0263</v>
      </c>
      <c r="K250" s="69">
        <f>N151/1000*H250</f>
        <v>0.033109070000000004</v>
      </c>
    </row>
    <row r="251" spans="4:11" s="65" customFormat="1" ht="12.75">
      <c r="D251" s="65" t="s">
        <v>198</v>
      </c>
      <c r="H251" s="65">
        <v>0.02893</v>
      </c>
      <c r="K251" s="69">
        <f>N152/1000*H251</f>
        <v>0</v>
      </c>
    </row>
    <row r="252" s="65" customFormat="1" ht="12.75">
      <c r="K252" s="69"/>
    </row>
    <row r="253" spans="1:11" s="65" customFormat="1" ht="12.75">
      <c r="A253" s="65" t="s">
        <v>228</v>
      </c>
      <c r="B253" s="65" t="s">
        <v>229</v>
      </c>
      <c r="D253" s="65" t="s">
        <v>203</v>
      </c>
      <c r="K253" s="69"/>
    </row>
    <row r="254" spans="2:11" s="65" customFormat="1" ht="12.75">
      <c r="B254" s="65" t="s">
        <v>230</v>
      </c>
      <c r="D254" s="65" t="s">
        <v>209</v>
      </c>
      <c r="K254" s="69"/>
    </row>
    <row r="255" spans="4:11" s="65" customFormat="1" ht="12.75">
      <c r="D255" s="65" t="s">
        <v>191</v>
      </c>
      <c r="K255" s="69"/>
    </row>
    <row r="256" spans="4:11" s="65" customFormat="1" ht="12.75">
      <c r="D256" s="65" t="s">
        <v>158</v>
      </c>
      <c r="H256" s="65">
        <v>0.014679</v>
      </c>
      <c r="I256" s="65">
        <v>0</v>
      </c>
      <c r="K256" s="69">
        <f>N155/1000*H256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N156/1000*H257</f>
        <v>0</v>
      </c>
    </row>
    <row r="258" spans="4:11" s="65" customFormat="1" ht="12.75">
      <c r="D258" s="65" t="s">
        <v>198</v>
      </c>
      <c r="K258" s="69">
        <f>N157/1000*H258</f>
        <v>0</v>
      </c>
    </row>
    <row r="259" spans="4:11" s="65" customFormat="1" ht="12.75">
      <c r="D259" s="65" t="s">
        <v>211</v>
      </c>
      <c r="K259" s="69"/>
    </row>
    <row r="260" spans="4:11" s="65" customFormat="1" ht="12.75">
      <c r="D260" s="65" t="s">
        <v>191</v>
      </c>
      <c r="K260" s="69"/>
    </row>
    <row r="261" spans="4:11" s="65" customFormat="1" ht="12.75">
      <c r="D261" s="65" t="s">
        <v>192</v>
      </c>
      <c r="K261" s="69"/>
    </row>
    <row r="262" spans="4:11" s="65" customFormat="1" ht="12.75">
      <c r="D262" s="65" t="s">
        <v>158</v>
      </c>
      <c r="K262" s="69">
        <f>N140/1000*H262</f>
        <v>0</v>
      </c>
    </row>
    <row r="263" spans="4:11" s="65" customFormat="1" ht="12.75">
      <c r="D263" s="65" t="s">
        <v>196</v>
      </c>
      <c r="H263" s="65">
        <v>0.01631</v>
      </c>
      <c r="I263" s="65">
        <v>0</v>
      </c>
      <c r="K263" s="69">
        <f>N141/1000*H263</f>
        <v>0.07825701100000002</v>
      </c>
    </row>
    <row r="264" spans="4:11" s="65" customFormat="1" ht="12.75">
      <c r="D264" s="65" t="s">
        <v>198</v>
      </c>
      <c r="H264" s="65">
        <v>0.017941</v>
      </c>
      <c r="I264" s="65">
        <v>0</v>
      </c>
      <c r="K264" s="69">
        <f>N142/1000*H264</f>
        <v>0</v>
      </c>
    </row>
    <row r="265" spans="5:11" s="65" customFormat="1" ht="12.75">
      <c r="E265" s="65" t="s">
        <v>201</v>
      </c>
      <c r="G265" s="65">
        <v>0</v>
      </c>
      <c r="I265" s="65">
        <v>0</v>
      </c>
      <c r="K265" s="69"/>
    </row>
    <row r="266" s="65" customFormat="1" ht="12.75">
      <c r="K266" s="69"/>
    </row>
    <row r="267" spans="1:11" s="65" customFormat="1" ht="12.75">
      <c r="A267" s="65" t="s">
        <v>231</v>
      </c>
      <c r="B267" s="65" t="s">
        <v>232</v>
      </c>
      <c r="D267" s="65" t="s">
        <v>203</v>
      </c>
      <c r="K267" s="69"/>
    </row>
    <row r="268" spans="2:11" s="65" customFormat="1" ht="12.75">
      <c r="B268" s="65" t="s">
        <v>233</v>
      </c>
      <c r="D268" s="65" t="s">
        <v>211</v>
      </c>
      <c r="K268" s="69"/>
    </row>
    <row r="269" spans="4:11" s="65" customFormat="1" ht="12.75">
      <c r="D269" s="65" t="s">
        <v>209</v>
      </c>
      <c r="K269" s="69"/>
    </row>
    <row r="270" spans="4:11" s="65" customFormat="1" ht="12.75">
      <c r="D270" s="65" t="s">
        <v>234</v>
      </c>
      <c r="K270" s="69"/>
    </row>
    <row r="271" spans="4:11" s="65" customFormat="1" ht="12.75">
      <c r="D271" s="65" t="s">
        <v>235</v>
      </c>
      <c r="F271" s="65" t="s">
        <v>236</v>
      </c>
      <c r="K271" s="69"/>
    </row>
    <row r="272" spans="4:11" s="65" customFormat="1" ht="12.75">
      <c r="D272" s="65" t="s">
        <v>191</v>
      </c>
      <c r="F272" s="65" t="s">
        <v>237</v>
      </c>
      <c r="K272" s="69"/>
    </row>
    <row r="273" spans="4:11" s="65" customFormat="1" ht="12.75">
      <c r="D273" s="65" t="s">
        <v>158</v>
      </c>
      <c r="H273" s="65">
        <v>41000</v>
      </c>
      <c r="I273" s="65">
        <v>0</v>
      </c>
      <c r="K273" s="69">
        <f>N168/H273</f>
        <v>0</v>
      </c>
    </row>
    <row r="274" spans="4:11" s="65" customFormat="1" ht="12.75">
      <c r="D274" s="65" t="s">
        <v>196</v>
      </c>
      <c r="H274" s="65">
        <v>39000</v>
      </c>
      <c r="I274" s="65">
        <v>0</v>
      </c>
      <c r="K274" s="69">
        <f>N169/H274</f>
        <v>0.12302820512820514</v>
      </c>
    </row>
    <row r="275" spans="4:11" s="65" customFormat="1" ht="12.75">
      <c r="D275" s="65" t="s">
        <v>198</v>
      </c>
      <c r="H275" s="65">
        <v>37000</v>
      </c>
      <c r="I275" s="65">
        <v>0</v>
      </c>
      <c r="K275" s="69">
        <f>N170/H275</f>
        <v>0</v>
      </c>
    </row>
    <row r="276" s="65" customFormat="1" ht="12.75">
      <c r="K276" s="69"/>
    </row>
    <row r="277" spans="4:11" s="65" customFormat="1" ht="12.75">
      <c r="D277" s="65" t="s">
        <v>238</v>
      </c>
      <c r="K277" s="69"/>
    </row>
    <row r="278" spans="4:11" s="65" customFormat="1" ht="12.75">
      <c r="D278" s="65" t="s">
        <v>239</v>
      </c>
      <c r="F278" s="65" t="s">
        <v>240</v>
      </c>
      <c r="K278" s="69"/>
    </row>
    <row r="279" spans="4:11" s="65" customFormat="1" ht="12.75">
      <c r="D279" s="65" t="s">
        <v>191</v>
      </c>
      <c r="K279" s="69"/>
    </row>
    <row r="280" spans="4:11" s="65" customFormat="1" ht="12.75">
      <c r="D280" s="65" t="s">
        <v>158</v>
      </c>
      <c r="H280" s="65">
        <v>450</v>
      </c>
      <c r="I280" s="65">
        <v>0</v>
      </c>
      <c r="K280" s="69">
        <f>N173/H280</f>
        <v>0</v>
      </c>
    </row>
    <row r="281" spans="4:11" s="65" customFormat="1" ht="12.75">
      <c r="D281" s="65" t="s">
        <v>196</v>
      </c>
      <c r="H281" s="65">
        <v>375</v>
      </c>
      <c r="I281" s="65">
        <v>0</v>
      </c>
      <c r="K281" s="69">
        <f>N174/H281</f>
        <v>0.448</v>
      </c>
    </row>
    <row r="282" spans="4:11" s="65" customFormat="1" ht="12.75">
      <c r="D282" s="65" t="s">
        <v>198</v>
      </c>
      <c r="H282" s="65">
        <v>310</v>
      </c>
      <c r="I282" s="65">
        <v>0</v>
      </c>
      <c r="K282" s="69">
        <f>N175/H282</f>
        <v>0</v>
      </c>
    </row>
    <row r="283" spans="5:11" s="65" customFormat="1" ht="12.75">
      <c r="E283" s="65" t="s">
        <v>201</v>
      </c>
      <c r="G283" s="65">
        <v>0</v>
      </c>
      <c r="I283" s="65">
        <v>0</v>
      </c>
      <c r="K283" s="69"/>
    </row>
    <row r="284" s="65" customFormat="1" ht="12.75">
      <c r="K284" s="69"/>
    </row>
    <row r="285" spans="1:11" s="65" customFormat="1" ht="12.75">
      <c r="A285" s="65" t="s">
        <v>241</v>
      </c>
      <c r="B285" s="65" t="s">
        <v>242</v>
      </c>
      <c r="D285" s="65" t="s">
        <v>243</v>
      </c>
      <c r="K285" s="69"/>
    </row>
    <row r="286" spans="4:11" s="65" customFormat="1" ht="12.75">
      <c r="D286" s="65" t="s">
        <v>244</v>
      </c>
      <c r="F286" s="65" t="s">
        <v>240</v>
      </c>
      <c r="K286" s="69"/>
    </row>
    <row r="287" spans="4:11" s="65" customFormat="1" ht="12.75">
      <c r="D287" s="65" t="s">
        <v>245</v>
      </c>
      <c r="K287" s="69"/>
    </row>
    <row r="288" spans="4:11" s="65" customFormat="1" ht="12.75">
      <c r="D288" s="65" t="s">
        <v>158</v>
      </c>
      <c r="H288" s="65">
        <v>2350</v>
      </c>
      <c r="I288" s="65">
        <v>0</v>
      </c>
      <c r="K288" s="69">
        <f>N173/H288</f>
        <v>0</v>
      </c>
    </row>
    <row r="289" spans="4:11" s="65" customFormat="1" ht="12.75">
      <c r="D289" s="65" t="s">
        <v>196</v>
      </c>
      <c r="H289" s="65">
        <v>2250</v>
      </c>
      <c r="I289" s="65">
        <v>0</v>
      </c>
      <c r="K289" s="69">
        <f>N174/H289</f>
        <v>0.07466666666666667</v>
      </c>
    </row>
    <row r="290" spans="4:11" s="65" customFormat="1" ht="12.75">
      <c r="D290" s="65" t="s">
        <v>198</v>
      </c>
      <c r="H290" s="65">
        <v>2200</v>
      </c>
      <c r="I290" s="65">
        <v>0</v>
      </c>
      <c r="K290" s="69">
        <f>N175/H290</f>
        <v>0</v>
      </c>
    </row>
    <row r="291" spans="5:11" s="65" customFormat="1" ht="12.75">
      <c r="E291" s="65" t="s">
        <v>201</v>
      </c>
      <c r="G291" s="65">
        <v>0</v>
      </c>
      <c r="I291" s="65">
        <v>0</v>
      </c>
      <c r="K291" s="69"/>
    </row>
    <row r="292" s="65" customFormat="1" ht="12.75">
      <c r="K292" s="69">
        <f>K154+K155+K156+K164+K165+K166+K171+K172+K173+K177+K178+K179+K185+K186+K187+K191+K192+K193+K199+K200+K201+K205+K206+K207+K213+K214+K215+K219+K220+K221+K228+K229+K230+K234+K235+K236+K240+K241+K242+K249+K250+K251+K256+K257+K258+K262+K263+K264+K273+K274+K275+K280+K281+K282+K288+K289+K290</f>
        <v>1.201631430794872</v>
      </c>
    </row>
    <row r="293" spans="1:11" s="65" customFormat="1" ht="12.75">
      <c r="A293" s="65" t="s">
        <v>246</v>
      </c>
      <c r="B293" s="65" t="s">
        <v>247</v>
      </c>
      <c r="F293" s="65" t="s">
        <v>248</v>
      </c>
      <c r="I293" s="65">
        <v>1</v>
      </c>
      <c r="K293" s="69">
        <f>K292*1.12</f>
        <v>1.3458272024902567</v>
      </c>
    </row>
    <row r="294" s="65" customFormat="1" ht="12.75">
      <c r="B294" s="65" t="s">
        <v>249</v>
      </c>
    </row>
    <row r="295" s="65" customFormat="1" ht="12.75">
      <c r="B295" s="65" t="s">
        <v>250</v>
      </c>
    </row>
    <row r="296" s="65" customFormat="1" ht="12.75"/>
    <row r="297" spans="1:9" s="65" customFormat="1" ht="12.75">
      <c r="A297" s="65" t="s">
        <v>251</v>
      </c>
      <c r="B297" s="65" t="s">
        <v>252</v>
      </c>
      <c r="I297" s="65">
        <v>2</v>
      </c>
    </row>
    <row r="298" spans="1:9" s="65" customFormat="1" ht="12.75">
      <c r="A298" s="65" t="s">
        <v>253</v>
      </c>
      <c r="B298" s="65" t="s">
        <v>254</v>
      </c>
      <c r="I298" s="65">
        <v>1</v>
      </c>
    </row>
    <row r="299" spans="1:9" s="65" customFormat="1" ht="12.75">
      <c r="A299" s="65" t="s">
        <v>255</v>
      </c>
      <c r="B299" s="65" t="s">
        <v>256</v>
      </c>
      <c r="I299" s="65">
        <v>1</v>
      </c>
    </row>
    <row r="300" spans="2:9" s="65" customFormat="1" ht="12.75">
      <c r="B300" s="65" t="s">
        <v>257</v>
      </c>
      <c r="I300" s="65">
        <v>5</v>
      </c>
    </row>
    <row r="301" s="65" customFormat="1" ht="12.75">
      <c r="F301" s="65" t="s">
        <v>258</v>
      </c>
    </row>
    <row r="302" spans="1:9" s="65" customFormat="1" ht="12.75">
      <c r="A302" s="65" t="s">
        <v>259</v>
      </c>
      <c r="B302" s="65" t="s">
        <v>260</v>
      </c>
      <c r="E302" s="65" t="s">
        <v>261</v>
      </c>
      <c r="H302" s="65">
        <v>1200</v>
      </c>
      <c r="I302" s="78">
        <f>G302/H302</f>
        <v>0</v>
      </c>
    </row>
    <row r="303" spans="5:9" s="65" customFormat="1" ht="12.75">
      <c r="E303" s="65" t="s">
        <v>262</v>
      </c>
      <c r="G303" s="65">
        <v>840</v>
      </c>
      <c r="H303" s="65">
        <v>1650</v>
      </c>
      <c r="I303" s="78">
        <f>G303/H303</f>
        <v>0.509090909090909</v>
      </c>
    </row>
    <row r="304" spans="5:9" s="65" customFormat="1" ht="12.75">
      <c r="E304" s="65" t="s">
        <v>263</v>
      </c>
      <c r="G304" s="65">
        <v>4600</v>
      </c>
      <c r="H304" s="65">
        <v>9000</v>
      </c>
      <c r="I304" s="78">
        <f>G304/H304</f>
        <v>0.5111111111111111</v>
      </c>
    </row>
    <row r="305" spans="3:9" s="65" customFormat="1" ht="12.75">
      <c r="C305" s="65" t="s">
        <v>201</v>
      </c>
      <c r="G305" s="65">
        <f>G302+G304</f>
        <v>4600</v>
      </c>
      <c r="I305" s="78">
        <f>I302+I303+I304</f>
        <v>1.02020202020202</v>
      </c>
    </row>
    <row r="306" spans="6:9" s="65" customFormat="1" ht="12.75">
      <c r="F306" s="65" t="s">
        <v>258</v>
      </c>
      <c r="I306" s="78"/>
    </row>
    <row r="307" spans="1:9" s="65" customFormat="1" ht="12.75">
      <c r="A307" s="65" t="s">
        <v>264</v>
      </c>
      <c r="B307" s="65" t="s">
        <v>265</v>
      </c>
      <c r="E307" s="65" t="s">
        <v>266</v>
      </c>
      <c r="H307" s="65">
        <v>800</v>
      </c>
      <c r="I307" s="78">
        <f>G307/H307</f>
        <v>0</v>
      </c>
    </row>
    <row r="308" spans="2:9" s="65" customFormat="1" ht="12.75">
      <c r="B308" s="65" t="s">
        <v>267</v>
      </c>
      <c r="E308" s="65" t="s">
        <v>268</v>
      </c>
      <c r="G308" s="65">
        <v>980</v>
      </c>
      <c r="H308" s="65">
        <v>960</v>
      </c>
      <c r="I308" s="78">
        <f>G308/H308</f>
        <v>1.0208333333333333</v>
      </c>
    </row>
    <row r="309" spans="5:9" s="65" customFormat="1" ht="12.75">
      <c r="E309" s="65" t="s">
        <v>269</v>
      </c>
      <c r="I309" s="78"/>
    </row>
    <row r="310" spans="3:9" s="65" customFormat="1" ht="12.75">
      <c r="C310" s="65" t="s">
        <v>201</v>
      </c>
      <c r="G310" s="65">
        <f>G307+G308+G309</f>
        <v>980</v>
      </c>
      <c r="I310" s="78">
        <f>I307+I308</f>
        <v>1.0208333333333333</v>
      </c>
    </row>
    <row r="311" spans="6:9" s="65" customFormat="1" ht="12.75">
      <c r="F311" s="65" t="s">
        <v>270</v>
      </c>
      <c r="I311" s="78"/>
    </row>
    <row r="312" spans="1:9" s="65" customFormat="1" ht="12.75">
      <c r="A312" s="65" t="s">
        <v>271</v>
      </c>
      <c r="B312" s="65" t="s">
        <v>272</v>
      </c>
      <c r="E312" s="65" t="s">
        <v>273</v>
      </c>
      <c r="H312" s="65">
        <v>500</v>
      </c>
      <c r="I312" s="78">
        <f>G312/H312</f>
        <v>0</v>
      </c>
    </row>
    <row r="313" spans="5:9" s="65" customFormat="1" ht="12.75">
      <c r="E313" s="65" t="s">
        <v>274</v>
      </c>
      <c r="G313" s="65">
        <v>324</v>
      </c>
      <c r="H313" s="65">
        <v>700</v>
      </c>
      <c r="I313" s="78">
        <f>G313/H313</f>
        <v>0.46285714285714286</v>
      </c>
    </row>
    <row r="314" spans="5:9" s="65" customFormat="1" ht="12.75">
      <c r="E314" s="65" t="s">
        <v>275</v>
      </c>
      <c r="I314" s="78"/>
    </row>
    <row r="315" spans="3:9" s="65" customFormat="1" ht="12.75">
      <c r="C315" s="65" t="s">
        <v>201</v>
      </c>
      <c r="G315" s="65">
        <v>0</v>
      </c>
      <c r="I315" s="78">
        <f>I312+I313</f>
        <v>0.46285714285714286</v>
      </c>
    </row>
    <row r="316" spans="1:2" s="65" customFormat="1" ht="12.75">
      <c r="A316" s="65" t="s">
        <v>276</v>
      </c>
      <c r="B316" s="65" t="s">
        <v>277</v>
      </c>
    </row>
    <row r="317" spans="2:9" s="65" customFormat="1" ht="12.75">
      <c r="B317" s="65" t="s">
        <v>278</v>
      </c>
      <c r="I317" s="65">
        <v>2</v>
      </c>
    </row>
  </sheetData>
  <sheetProtection/>
  <mergeCells count="52">
    <mergeCell ref="A114:G114"/>
    <mergeCell ref="A118:E118"/>
    <mergeCell ref="A120:G120"/>
    <mergeCell ref="A124:D124"/>
    <mergeCell ref="C105:I105"/>
    <mergeCell ref="C80:D80"/>
    <mergeCell ref="A83:F83"/>
    <mergeCell ref="A84:G84"/>
    <mergeCell ref="A85:D85"/>
    <mergeCell ref="E85:G85"/>
    <mergeCell ref="A86:E86"/>
    <mergeCell ref="A64:E64"/>
    <mergeCell ref="A65:G65"/>
    <mergeCell ref="A66:G66"/>
    <mergeCell ref="A72:D72"/>
    <mergeCell ref="A73:F73"/>
    <mergeCell ref="A76:E76"/>
    <mergeCell ref="A50:F50"/>
    <mergeCell ref="A51:F51"/>
    <mergeCell ref="A52:G52"/>
    <mergeCell ref="A53:G53"/>
    <mergeCell ref="A59:F59"/>
    <mergeCell ref="A63:G63"/>
    <mergeCell ref="A41:G41"/>
    <mergeCell ref="A42:G42"/>
    <mergeCell ref="A43:G43"/>
    <mergeCell ref="A44:G44"/>
    <mergeCell ref="A45:F45"/>
    <mergeCell ref="A46:F46"/>
    <mergeCell ref="A35:G35"/>
    <mergeCell ref="A36:G36"/>
    <mergeCell ref="A37:G37"/>
    <mergeCell ref="A38:G38"/>
    <mergeCell ref="A39:D39"/>
    <mergeCell ref="A40:G40"/>
    <mergeCell ref="A28:G28"/>
    <mergeCell ref="A29:G29"/>
    <mergeCell ref="A30:G30"/>
    <mergeCell ref="A31:G31"/>
    <mergeCell ref="A32:E32"/>
    <mergeCell ref="A34:G34"/>
    <mergeCell ref="A19:F19"/>
    <mergeCell ref="A20:F20"/>
    <mergeCell ref="A21:F21"/>
    <mergeCell ref="A25:F25"/>
    <mergeCell ref="A26:G26"/>
    <mergeCell ref="A27:G27"/>
    <mergeCell ref="A1:K1"/>
    <mergeCell ref="A2:K2"/>
    <mergeCell ref="A4:K5"/>
    <mergeCell ref="A6:K6"/>
    <mergeCell ref="A15:G15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N88:N89 H114 H120 K114" evalError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P311"/>
  <sheetViews>
    <sheetView zoomScalePageLayoutView="0" workbookViewId="0" topLeftCell="A1">
      <selection activeCell="I57" sqref="I57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57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41" t="s">
        <v>987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9.11*1.042</f>
        <v>9.49262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65">
        <f>L6*4%</f>
        <v>0.3797048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54683.24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K17+K30+K46+K63+K70+K80</f>
        <v>51575.08685655287</v>
      </c>
      <c r="L15" s="68"/>
      <c r="M15" s="65" t="s">
        <v>73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74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H19+H21+H22+H24+H26+H27+H28+H20</f>
        <v>9600.863358125433</v>
      </c>
      <c r="M17" s="65" t="s">
        <v>76</v>
      </c>
      <c r="O17" s="69">
        <f>I299</f>
        <v>1.148090909090909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I304</f>
        <v>0.695375</v>
      </c>
    </row>
    <row r="19" spans="1:15" ht="12.75">
      <c r="A19" s="113" t="s">
        <v>281</v>
      </c>
      <c r="B19" s="113"/>
      <c r="C19" s="113"/>
      <c r="D19" s="113"/>
      <c r="E19" s="113"/>
      <c r="F19" s="113"/>
      <c r="G19" s="22"/>
      <c r="H19" s="23">
        <f>O17*2600*1.75*1.07</f>
        <v>5589.480590909092</v>
      </c>
      <c r="I19" s="22"/>
      <c r="J19" s="22"/>
      <c r="K19" s="23"/>
      <c r="M19" s="65" t="s">
        <v>80</v>
      </c>
      <c r="O19" s="69"/>
    </row>
    <row r="20" spans="1:15" ht="12.75" customHeight="1">
      <c r="A20" s="24" t="s">
        <v>478</v>
      </c>
      <c r="B20" s="24"/>
      <c r="C20" s="24"/>
      <c r="D20" s="24"/>
      <c r="E20" s="24"/>
      <c r="F20" s="24"/>
      <c r="G20" s="22"/>
      <c r="H20" s="23">
        <f>O18*2203*1.3*1.07</f>
        <v>2130.888374875</v>
      </c>
      <c r="I20" s="22"/>
      <c r="J20" s="22"/>
      <c r="K20" s="23"/>
      <c r="M20" s="65" t="s">
        <v>82</v>
      </c>
      <c r="O20" s="69">
        <v>5760.6</v>
      </c>
    </row>
    <row r="21" spans="1:15" ht="12.75" hidden="1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83</v>
      </c>
      <c r="O21" s="65">
        <v>300</v>
      </c>
    </row>
    <row r="22" spans="1:16" ht="12.75">
      <c r="A22" s="23">
        <f>H19+H20</f>
        <v>7720.368965784091</v>
      </c>
      <c r="B22" s="22" t="s">
        <v>84</v>
      </c>
      <c r="C22" s="22"/>
      <c r="D22" s="22"/>
      <c r="E22" s="22"/>
      <c r="F22" s="22"/>
      <c r="G22" s="22"/>
      <c r="H22" s="23">
        <f>A22*0.142</f>
        <v>1096.2923931413409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988</v>
      </c>
      <c r="B24" s="113"/>
      <c r="C24" s="113"/>
      <c r="D24" s="113"/>
      <c r="E24" s="113"/>
      <c r="F24" s="113"/>
      <c r="G24" s="22"/>
      <c r="H24" s="23">
        <f>0.057*O20</f>
        <v>328.35420000000005</v>
      </c>
      <c r="I24" s="23"/>
      <c r="J24" s="22"/>
      <c r="K24" s="23"/>
      <c r="N24" s="65">
        <v>10</v>
      </c>
      <c r="P24" s="65">
        <f>O24/2</f>
        <v>0</v>
      </c>
    </row>
    <row r="25" spans="1:11" ht="12.75">
      <c r="A25" s="24" t="s">
        <v>989</v>
      </c>
      <c r="B25" s="24"/>
      <c r="C25" s="24"/>
      <c r="D25" s="24"/>
      <c r="E25" s="24"/>
      <c r="F25" s="24"/>
      <c r="G25" s="22"/>
      <c r="H25" s="23">
        <f>O20*0.0085</f>
        <v>48.96510000000001</v>
      </c>
      <c r="I25" s="23"/>
      <c r="J25" s="22"/>
      <c r="K25" s="23"/>
    </row>
    <row r="26" spans="1:13" ht="12.75">
      <c r="A26" s="113" t="s">
        <v>990</v>
      </c>
      <c r="B26" s="113"/>
      <c r="C26" s="113"/>
      <c r="D26" s="113"/>
      <c r="E26" s="113"/>
      <c r="F26" s="113"/>
      <c r="G26" s="113"/>
      <c r="H26" s="23">
        <f>0.005*O20</f>
        <v>28.803</v>
      </c>
      <c r="I26" s="22"/>
      <c r="J26" s="22"/>
      <c r="K26" s="23"/>
      <c r="M26" s="65" t="s">
        <v>90</v>
      </c>
    </row>
    <row r="27" spans="1:15" ht="12.75">
      <c r="A27" s="113" t="s">
        <v>991</v>
      </c>
      <c r="B27" s="113"/>
      <c r="C27" s="113"/>
      <c r="D27" s="113"/>
      <c r="E27" s="113"/>
      <c r="F27" s="113"/>
      <c r="G27" s="113"/>
      <c r="H27" s="23">
        <f>O20*0.017</f>
        <v>97.93020000000001</v>
      </c>
      <c r="I27" s="22"/>
      <c r="J27" s="22">
        <v>13606.82</v>
      </c>
      <c r="K27" s="23"/>
      <c r="M27" s="65" t="s">
        <v>92</v>
      </c>
      <c r="O27" s="65">
        <v>48</v>
      </c>
    </row>
    <row r="28" spans="1:15" ht="12.75">
      <c r="A28" s="113" t="s">
        <v>93</v>
      </c>
      <c r="B28" s="113"/>
      <c r="C28" s="113"/>
      <c r="D28" s="113"/>
      <c r="E28" s="113"/>
      <c r="F28" s="113"/>
      <c r="G28" s="113"/>
      <c r="H28" s="23">
        <f>0.054*O20*1.058</f>
        <v>329.11459920000004</v>
      </c>
      <c r="I28" s="22"/>
      <c r="J28" s="22"/>
      <c r="K28" s="23"/>
      <c r="M28" s="65" t="s">
        <v>94</v>
      </c>
      <c r="O28" s="65">
        <v>1350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H32+H33+H34+H35+H36+H37+H38+H40+H41+H42+H43+K41+H39+H44</f>
        <v>11256.285154000003</v>
      </c>
      <c r="M30" s="65" t="s">
        <v>96</v>
      </c>
      <c r="O30" s="69">
        <f>K287</f>
        <v>1.5839144678382997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3.3333333333333335</v>
      </c>
    </row>
    <row r="32" spans="1:11" ht="12.75">
      <c r="A32" s="113" t="s">
        <v>358</v>
      </c>
      <c r="B32" s="113"/>
      <c r="C32" s="113"/>
      <c r="D32" s="113"/>
      <c r="E32" s="113"/>
      <c r="F32" s="113"/>
      <c r="G32" s="113"/>
      <c r="H32" s="28">
        <f>(O21*1.5)/12*90.3*1.058</f>
        <v>3582.6525</v>
      </c>
      <c r="I32" s="22"/>
      <c r="J32" s="22"/>
      <c r="K32" s="29"/>
    </row>
    <row r="33" spans="1:11" ht="12.75">
      <c r="A33" s="113" t="s">
        <v>992</v>
      </c>
      <c r="B33" s="113"/>
      <c r="C33" s="113"/>
      <c r="D33" s="113"/>
      <c r="E33" s="113"/>
      <c r="F33" s="113"/>
      <c r="G33" s="113"/>
      <c r="H33" s="28">
        <f>O21*1.5*33.1/12*1.058</f>
        <v>1313.2425</v>
      </c>
      <c r="I33" s="22"/>
      <c r="J33" s="22"/>
      <c r="K33" s="29"/>
    </row>
    <row r="34" spans="1:11" ht="12.75">
      <c r="A34" s="113" t="s">
        <v>993</v>
      </c>
      <c r="B34" s="113"/>
      <c r="C34" s="113"/>
      <c r="D34" s="113"/>
      <c r="E34" s="113"/>
      <c r="F34" s="113"/>
      <c r="G34" s="113"/>
      <c r="H34" s="28">
        <f>O28*2.48</f>
        <v>3348</v>
      </c>
      <c r="I34" s="22"/>
      <c r="J34" s="22"/>
      <c r="K34" s="29"/>
    </row>
    <row r="35" spans="1:11" ht="12.75">
      <c r="A35" s="113" t="s">
        <v>994</v>
      </c>
      <c r="B35" s="113"/>
      <c r="C35" s="113"/>
      <c r="D35" s="113"/>
      <c r="E35" s="113"/>
      <c r="F35" s="113"/>
      <c r="G35" s="113"/>
      <c r="H35" s="28">
        <f>O20*0.0277</f>
        <v>159.56862</v>
      </c>
      <c r="I35" s="22"/>
      <c r="J35" s="22"/>
      <c r="K35" s="29"/>
    </row>
    <row r="36" spans="1:11" ht="12.75">
      <c r="A36" s="113" t="s">
        <v>995</v>
      </c>
      <c r="B36" s="113"/>
      <c r="C36" s="113"/>
      <c r="D36" s="113"/>
      <c r="E36" s="113"/>
      <c r="F36" s="113"/>
      <c r="G36" s="113"/>
      <c r="H36" s="28">
        <f>O20*0.0027</f>
        <v>15.553620000000002</v>
      </c>
      <c r="I36" s="22"/>
      <c r="J36" s="22"/>
      <c r="K36" s="29"/>
    </row>
    <row r="37" spans="1:11" ht="12.75">
      <c r="A37" s="113" t="s">
        <v>103</v>
      </c>
      <c r="B37" s="113"/>
      <c r="C37" s="113"/>
      <c r="D37" s="113"/>
      <c r="E37" s="113"/>
      <c r="F37" s="113"/>
      <c r="G37" s="113"/>
      <c r="H37" s="28">
        <f>O27*4.81/12</f>
        <v>19.24</v>
      </c>
      <c r="I37" s="22"/>
      <c r="J37" s="22"/>
      <c r="K37" s="29"/>
    </row>
    <row r="38" spans="1:11" ht="12.75">
      <c r="A38" s="113" t="s">
        <v>996</v>
      </c>
      <c r="B38" s="113"/>
      <c r="C38" s="113"/>
      <c r="D38" s="113"/>
      <c r="E38" s="113"/>
      <c r="F38" s="113"/>
      <c r="G38" s="113"/>
      <c r="H38" s="28">
        <f>O20*0.11*1.229</f>
        <v>778.7755140000002</v>
      </c>
      <c r="I38" s="22"/>
      <c r="J38" s="22"/>
      <c r="K38" s="29"/>
    </row>
    <row r="39" spans="1:11" ht="12.75">
      <c r="A39" s="30" t="s">
        <v>105</v>
      </c>
      <c r="B39" s="30"/>
      <c r="C39" s="30"/>
      <c r="D39" s="30"/>
      <c r="E39" s="30"/>
      <c r="F39" s="30"/>
      <c r="G39" s="30"/>
      <c r="H39" s="31">
        <f>O20*0.216</f>
        <v>1244.2896</v>
      </c>
      <c r="I39" s="22"/>
      <c r="J39" s="22"/>
      <c r="K39" s="29"/>
    </row>
    <row r="40" spans="1:11" ht="12.75">
      <c r="A40" s="113" t="s">
        <v>997</v>
      </c>
      <c r="B40" s="113"/>
      <c r="C40" s="113"/>
      <c r="D40" s="113"/>
      <c r="E40" s="113"/>
      <c r="F40" s="113"/>
      <c r="G40" s="113"/>
      <c r="H40" s="28">
        <f>O20*0.027</f>
        <v>155.5362</v>
      </c>
      <c r="I40" s="22"/>
      <c r="J40" s="32"/>
      <c r="K40" s="29"/>
    </row>
    <row r="41" spans="1:11" ht="12.75">
      <c r="A41" s="113" t="s">
        <v>998</v>
      </c>
      <c r="B41" s="113"/>
      <c r="C41" s="113"/>
      <c r="D41" s="113"/>
      <c r="E41" s="113"/>
      <c r="F41" s="113"/>
      <c r="G41" s="113"/>
      <c r="H41" s="28">
        <f>O20*0.022</f>
        <v>126.7332</v>
      </c>
      <c r="I41" s="22"/>
      <c r="J41" s="22"/>
      <c r="K41" s="29"/>
    </row>
    <row r="42" spans="1:11" ht="12.75">
      <c r="A42" s="113" t="s">
        <v>999</v>
      </c>
      <c r="B42" s="113"/>
      <c r="C42" s="113"/>
      <c r="D42" s="113"/>
      <c r="E42" s="113"/>
      <c r="F42" s="113"/>
      <c r="G42" s="113"/>
      <c r="H42" s="28">
        <f>O20*0.022</f>
        <v>126.7332</v>
      </c>
      <c r="I42" s="22"/>
      <c r="J42" s="22"/>
      <c r="K42" s="29"/>
    </row>
    <row r="43" spans="1:11" ht="12.75">
      <c r="A43" s="113" t="s">
        <v>1000</v>
      </c>
      <c r="B43" s="113"/>
      <c r="C43" s="113"/>
      <c r="D43" s="113"/>
      <c r="E43" s="113"/>
      <c r="F43" s="113"/>
      <c r="G43" s="24"/>
      <c r="H43" s="28">
        <f>O20*0.053</f>
        <v>305.3118</v>
      </c>
      <c r="I43" s="22"/>
      <c r="J43" s="22"/>
      <c r="K43" s="29"/>
    </row>
    <row r="44" spans="1:11" ht="12.75">
      <c r="A44" s="113" t="s">
        <v>1001</v>
      </c>
      <c r="B44" s="113"/>
      <c r="C44" s="113"/>
      <c r="D44" s="113"/>
      <c r="E44" s="113"/>
      <c r="F44" s="113"/>
      <c r="G44" s="24"/>
      <c r="H44" s="28">
        <f>O20*0.014</f>
        <v>80.64840000000001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3" ht="15.75">
      <c r="A46" s="20" t="s">
        <v>111</v>
      </c>
      <c r="B46" s="20"/>
      <c r="C46" s="20"/>
      <c r="D46" s="20"/>
      <c r="E46" s="20"/>
      <c r="F46" s="20"/>
      <c r="G46" s="20"/>
      <c r="H46" s="27"/>
      <c r="I46" s="20"/>
      <c r="J46" s="20"/>
      <c r="K46" s="21">
        <f>H49+H51+H52+H53+H54+H55+H56+H57+H58+H59+H61</f>
        <v>21020.544304427436</v>
      </c>
      <c r="M46" s="71" t="e">
        <f>K46/309084*#REF!</f>
        <v>#REF!</v>
      </c>
    </row>
    <row r="47" spans="1:11" ht="12.75">
      <c r="A47" s="22"/>
      <c r="B47" s="22" t="s">
        <v>64</v>
      </c>
      <c r="C47" s="22"/>
      <c r="D47" s="22"/>
      <c r="E47" s="22"/>
      <c r="F47" s="22"/>
      <c r="G47" s="22"/>
      <c r="H47" s="28"/>
      <c r="I47" s="22"/>
      <c r="J47" s="22"/>
      <c r="K47" s="29"/>
    </row>
    <row r="48" spans="1:11" ht="12.75">
      <c r="A48" s="33" t="s">
        <v>112</v>
      </c>
      <c r="B48" s="33"/>
      <c r="C48" s="33"/>
      <c r="D48" s="33"/>
      <c r="E48" s="33"/>
      <c r="F48" s="33"/>
      <c r="G48" s="33"/>
      <c r="H48" s="34"/>
      <c r="I48" s="33"/>
      <c r="J48" s="33"/>
      <c r="K48" s="35"/>
    </row>
    <row r="49" spans="1:11" ht="12.75">
      <c r="A49" s="111" t="s">
        <v>113</v>
      </c>
      <c r="B49" s="111"/>
      <c r="C49" s="111"/>
      <c r="D49" s="111"/>
      <c r="E49" s="111"/>
      <c r="F49" s="111"/>
      <c r="G49" s="36"/>
      <c r="H49" s="37">
        <f>K287*24.48*165.1*1.5*1.07</f>
        <v>10274.607709481115</v>
      </c>
      <c r="I49" s="38"/>
      <c r="J49" s="38"/>
      <c r="K49" s="35"/>
    </row>
    <row r="50" spans="1:11" ht="12.75">
      <c r="A50" s="33" t="s">
        <v>114</v>
      </c>
      <c r="B50" s="33"/>
      <c r="C50" s="33"/>
      <c r="D50" s="33"/>
      <c r="E50" s="33"/>
      <c r="F50" s="33"/>
      <c r="G50" s="33"/>
      <c r="H50" s="34"/>
      <c r="I50" s="33"/>
      <c r="J50" s="33"/>
      <c r="K50" s="35"/>
    </row>
    <row r="51" spans="1:11" ht="12.75">
      <c r="A51" s="39">
        <f>H49</f>
        <v>10274.607709481115</v>
      </c>
      <c r="B51" s="36" t="s">
        <v>115</v>
      </c>
      <c r="C51" s="36"/>
      <c r="D51" s="36"/>
      <c r="E51" s="36"/>
      <c r="F51" s="36"/>
      <c r="G51" s="38"/>
      <c r="H51" s="37">
        <f>H49*14.2%</f>
        <v>1458.9942947463182</v>
      </c>
      <c r="I51" s="38"/>
      <c r="J51" s="38"/>
      <c r="K51" s="35"/>
    </row>
    <row r="52" spans="1:11" ht="12.75">
      <c r="A52" s="30" t="s">
        <v>86</v>
      </c>
      <c r="B52" s="30"/>
      <c r="C52" s="30"/>
      <c r="D52" s="30"/>
      <c r="E52" s="30"/>
      <c r="F52" s="40"/>
      <c r="G52" s="40"/>
      <c r="H52" s="37">
        <f>0.04*O20</f>
        <v>230.424</v>
      </c>
      <c r="I52" s="38"/>
      <c r="J52" s="38"/>
      <c r="K52" s="35"/>
    </row>
    <row r="53" spans="1:11" ht="12.75">
      <c r="A53" s="108" t="s">
        <v>116</v>
      </c>
      <c r="B53" s="108"/>
      <c r="C53" s="108"/>
      <c r="D53" s="108"/>
      <c r="E53" s="108"/>
      <c r="F53" s="108"/>
      <c r="G53" s="108"/>
      <c r="H53" s="37">
        <v>7700</v>
      </c>
      <c r="I53" s="38"/>
      <c r="J53" s="38"/>
      <c r="K53" s="35"/>
    </row>
    <row r="54" spans="1:11" ht="12.75">
      <c r="A54" s="90" t="s">
        <v>1002</v>
      </c>
      <c r="B54" s="90"/>
      <c r="C54" s="90"/>
      <c r="D54" s="90"/>
      <c r="E54" s="90"/>
      <c r="F54" s="30"/>
      <c r="G54" s="30"/>
      <c r="H54" s="37">
        <f>0.0037*O20</f>
        <v>21.314220000000002</v>
      </c>
      <c r="I54" s="38"/>
      <c r="J54" s="38"/>
      <c r="K54" s="35"/>
    </row>
    <row r="55" spans="1:12" ht="12.75">
      <c r="A55" s="108" t="s">
        <v>1003</v>
      </c>
      <c r="B55" s="108"/>
      <c r="C55" s="108"/>
      <c r="D55" s="108"/>
      <c r="E55" s="108"/>
      <c r="F55" s="108"/>
      <c r="G55" s="108"/>
      <c r="H55" s="37">
        <f>O20*0.082</f>
        <v>472.36920000000003</v>
      </c>
      <c r="I55" s="38"/>
      <c r="J55" s="38"/>
      <c r="K55" s="35"/>
      <c r="L55" s="69"/>
    </row>
    <row r="56" spans="1:13" ht="12.75">
      <c r="A56" s="108" t="s">
        <v>1004</v>
      </c>
      <c r="B56" s="108"/>
      <c r="C56" s="108"/>
      <c r="D56" s="108"/>
      <c r="E56" s="108"/>
      <c r="F56" s="108"/>
      <c r="G56" s="108"/>
      <c r="H56" s="31">
        <f>O20*0.023*1.229</f>
        <v>162.83488020000001</v>
      </c>
      <c r="I56" s="33"/>
      <c r="J56" s="33"/>
      <c r="K56" s="35"/>
      <c r="M56" s="65" t="e">
        <f>36646.37/309083*#REF!</f>
        <v>#REF!</v>
      </c>
    </row>
    <row r="57" spans="1:11" ht="12.75">
      <c r="A57" s="111" t="s">
        <v>442</v>
      </c>
      <c r="B57" s="111"/>
      <c r="C57" s="111"/>
      <c r="D57" s="111"/>
      <c r="E57" s="111"/>
      <c r="F57" s="111"/>
      <c r="G57" s="111"/>
      <c r="H57" s="31"/>
      <c r="I57" s="33"/>
      <c r="J57" s="33"/>
      <c r="K57" s="35"/>
    </row>
    <row r="58" spans="1:11" ht="12.75">
      <c r="A58" s="41" t="s">
        <v>120</v>
      </c>
      <c r="B58" s="41"/>
      <c r="C58" s="41"/>
      <c r="D58" s="41"/>
      <c r="E58" s="40"/>
      <c r="F58" s="40"/>
      <c r="G58" s="40"/>
      <c r="H58" s="31">
        <v>350</v>
      </c>
      <c r="I58" s="40"/>
      <c r="J58" s="40"/>
      <c r="K58" s="35"/>
    </row>
    <row r="59" spans="1:11" ht="12.75">
      <c r="A59" s="108" t="s">
        <v>376</v>
      </c>
      <c r="B59" s="108"/>
      <c r="C59" s="108"/>
      <c r="D59" s="108"/>
      <c r="E59" s="108"/>
      <c r="F59" s="108"/>
      <c r="G59" s="120"/>
      <c r="H59" s="37">
        <v>200</v>
      </c>
      <c r="I59" s="38"/>
      <c r="J59" s="38"/>
      <c r="K59" s="35"/>
    </row>
    <row r="60" spans="1:11" ht="12.75" customHeight="1" hidden="1">
      <c r="A60" s="38"/>
      <c r="B60" s="38"/>
      <c r="C60" s="38"/>
      <c r="D60" s="40"/>
      <c r="E60" s="40"/>
      <c r="F60" s="40"/>
      <c r="G60" s="40"/>
      <c r="H60" s="121"/>
      <c r="I60" s="40"/>
      <c r="J60" s="40"/>
      <c r="K60" s="122"/>
    </row>
    <row r="61" spans="1:11" ht="12.75">
      <c r="A61" s="38" t="s">
        <v>377</v>
      </c>
      <c r="B61" s="38"/>
      <c r="C61" s="38"/>
      <c r="D61" s="40"/>
      <c r="E61" s="40"/>
      <c r="F61" s="40"/>
      <c r="G61" s="44"/>
      <c r="H61" s="31">
        <v>150</v>
      </c>
      <c r="I61" s="40"/>
      <c r="J61" s="40"/>
      <c r="K61" s="122"/>
    </row>
    <row r="62" spans="1:11" ht="12.75">
      <c r="A62" s="38"/>
      <c r="B62" s="38"/>
      <c r="C62" s="38"/>
      <c r="D62" s="40"/>
      <c r="E62" s="40"/>
      <c r="F62" s="40"/>
      <c r="G62" s="44"/>
      <c r="H62" s="31"/>
      <c r="I62" s="40"/>
      <c r="J62" s="40"/>
      <c r="K62" s="122"/>
    </row>
    <row r="63" spans="1:13" ht="15.75">
      <c r="A63" s="110" t="s">
        <v>121</v>
      </c>
      <c r="B63" s="110"/>
      <c r="C63" s="110"/>
      <c r="D63" s="110"/>
      <c r="E63" s="42"/>
      <c r="F63" s="42"/>
      <c r="G63" s="20"/>
      <c r="H63" s="27"/>
      <c r="I63" s="20"/>
      <c r="J63" s="20"/>
      <c r="K63" s="21">
        <f>H65+H66+H67+H68</f>
        <v>4164.337740000001</v>
      </c>
      <c r="M63" s="72" t="e">
        <f>51932.37/301083*#REF!</f>
        <v>#REF!</v>
      </c>
    </row>
    <row r="64" spans="1:11" ht="12.75">
      <c r="A64" s="111" t="s">
        <v>122</v>
      </c>
      <c r="B64" s="111"/>
      <c r="C64" s="111"/>
      <c r="D64" s="111"/>
      <c r="E64" s="111"/>
      <c r="F64" s="111"/>
      <c r="G64" s="36"/>
      <c r="H64" s="37"/>
      <c r="I64" s="36"/>
      <c r="J64" s="36"/>
      <c r="K64" s="35"/>
    </row>
    <row r="65" spans="1:11" ht="12.75">
      <c r="A65" s="36" t="s">
        <v>1005</v>
      </c>
      <c r="B65" s="36"/>
      <c r="C65" s="36"/>
      <c r="D65" s="36"/>
      <c r="E65" s="36"/>
      <c r="F65" s="36"/>
      <c r="G65" s="36"/>
      <c r="H65" s="37">
        <f>0.2227*O20</f>
        <v>1282.8856200000002</v>
      </c>
      <c r="I65" s="36"/>
      <c r="J65" s="36"/>
      <c r="K65" s="35"/>
    </row>
    <row r="66" spans="1:11" ht="12.75">
      <c r="A66" s="30" t="s">
        <v>1006</v>
      </c>
      <c r="B66" s="43"/>
      <c r="C66" s="30"/>
      <c r="D66" s="30"/>
      <c r="E66" s="44"/>
      <c r="F66" s="38"/>
      <c r="G66" s="38"/>
      <c r="H66" s="37">
        <f>0.0257*O20</f>
        <v>148.04742000000002</v>
      </c>
      <c r="I66" s="38"/>
      <c r="J66" s="38"/>
      <c r="K66" s="35"/>
    </row>
    <row r="67" spans="1:11" ht="12.75">
      <c r="A67" s="111" t="s">
        <v>1007</v>
      </c>
      <c r="B67" s="111"/>
      <c r="C67" s="111"/>
      <c r="D67" s="111"/>
      <c r="E67" s="111"/>
      <c r="F67" s="38"/>
      <c r="G67" s="38"/>
      <c r="H67" s="37">
        <f>0.0945*O20</f>
        <v>544.3767</v>
      </c>
      <c r="I67" s="38"/>
      <c r="J67" s="38"/>
      <c r="K67" s="35"/>
    </row>
    <row r="68" spans="1:11" ht="12.75">
      <c r="A68" s="36" t="s">
        <v>1008</v>
      </c>
      <c r="B68" s="36"/>
      <c r="C68" s="36"/>
      <c r="D68" s="36"/>
      <c r="E68" s="36"/>
      <c r="F68" s="38"/>
      <c r="G68" s="38"/>
      <c r="H68" s="37">
        <f>0.38*O20</f>
        <v>2189.0280000000002</v>
      </c>
      <c r="I68" s="38"/>
      <c r="J68" s="38"/>
      <c r="K68" s="45"/>
    </row>
    <row r="69" spans="1:11" ht="12.75">
      <c r="A69" s="30"/>
      <c r="B69" s="30"/>
      <c r="C69" s="30"/>
      <c r="D69" s="30"/>
      <c r="E69" s="38"/>
      <c r="F69" s="38"/>
      <c r="G69" s="38"/>
      <c r="H69" s="37"/>
      <c r="I69" s="38"/>
      <c r="J69" s="38"/>
      <c r="K69" s="35"/>
    </row>
    <row r="70" spans="1:13" ht="15.75">
      <c r="A70" s="26" t="s">
        <v>127</v>
      </c>
      <c r="B70" s="26"/>
      <c r="C70" s="26"/>
      <c r="D70" s="26"/>
      <c r="E70" s="26"/>
      <c r="F70" s="26"/>
      <c r="G70" s="26"/>
      <c r="H70" s="46"/>
      <c r="I70" s="20"/>
      <c r="J70" s="20"/>
      <c r="K70" s="21">
        <f>O20*0.94</f>
        <v>5414.964</v>
      </c>
      <c r="M70" s="71" t="e">
        <f>231179.9/309083*#REF!</f>
        <v>#REF!</v>
      </c>
    </row>
    <row r="71" spans="1:11" ht="15.75">
      <c r="A71" s="47"/>
      <c r="B71" s="47"/>
      <c r="C71" s="112" t="s">
        <v>64</v>
      </c>
      <c r="D71" s="112"/>
      <c r="E71" s="47"/>
      <c r="F71" s="47"/>
      <c r="G71" s="47"/>
      <c r="H71" s="48"/>
      <c r="I71" s="47"/>
      <c r="J71" s="47"/>
      <c r="K71" s="49"/>
    </row>
    <row r="72" spans="1:11" ht="12.75">
      <c r="A72" s="30" t="s">
        <v>128</v>
      </c>
      <c r="B72" s="30"/>
      <c r="C72" s="30"/>
      <c r="D72" s="30"/>
      <c r="E72" s="30"/>
      <c r="F72" s="30"/>
      <c r="G72" s="30"/>
      <c r="H72" s="37"/>
      <c r="I72" s="38"/>
      <c r="J72" s="38"/>
      <c r="K72" s="35"/>
    </row>
    <row r="73" spans="1:11" ht="12.75">
      <c r="A73" s="30" t="s">
        <v>129</v>
      </c>
      <c r="B73" s="43"/>
      <c r="C73" s="30"/>
      <c r="D73" s="30"/>
      <c r="E73" s="30"/>
      <c r="F73" s="44"/>
      <c r="G73" s="44"/>
      <c r="H73" s="37"/>
      <c r="I73" s="38"/>
      <c r="J73" s="38"/>
      <c r="K73" s="35"/>
    </row>
    <row r="74" spans="1:11" ht="12.75">
      <c r="A74" s="108" t="s">
        <v>130</v>
      </c>
      <c r="B74" s="108"/>
      <c r="C74" s="108"/>
      <c r="D74" s="108"/>
      <c r="E74" s="108"/>
      <c r="F74" s="108"/>
      <c r="G74" s="44"/>
      <c r="H74" s="37"/>
      <c r="I74" s="38"/>
      <c r="J74" s="38"/>
      <c r="K74" s="35"/>
    </row>
    <row r="75" spans="1:11" ht="12.75">
      <c r="A75" s="108" t="s">
        <v>131</v>
      </c>
      <c r="B75" s="108"/>
      <c r="C75" s="108"/>
      <c r="D75" s="108"/>
      <c r="E75" s="108"/>
      <c r="F75" s="108"/>
      <c r="G75" s="108"/>
      <c r="H75" s="37"/>
      <c r="I75" s="38"/>
      <c r="J75" s="38"/>
      <c r="K75" s="35"/>
    </row>
    <row r="76" spans="1:11" ht="12.75">
      <c r="A76" s="108" t="s">
        <v>132</v>
      </c>
      <c r="B76" s="108"/>
      <c r="C76" s="108"/>
      <c r="D76" s="108"/>
      <c r="E76" s="109"/>
      <c r="F76" s="109"/>
      <c r="G76" s="109"/>
      <c r="H76" s="37"/>
      <c r="I76" s="38"/>
      <c r="J76" s="38"/>
      <c r="K76" s="35"/>
    </row>
    <row r="77" spans="1:11" ht="12.75">
      <c r="A77" s="108" t="s">
        <v>133</v>
      </c>
      <c r="B77" s="108"/>
      <c r="C77" s="108"/>
      <c r="D77" s="108"/>
      <c r="E77" s="108"/>
      <c r="F77" s="44"/>
      <c r="G77" s="44"/>
      <c r="H77" s="37"/>
      <c r="I77" s="38"/>
      <c r="J77" s="38"/>
      <c r="K77" s="35"/>
    </row>
    <row r="78" spans="1:11" ht="12.75">
      <c r="A78" s="44" t="s">
        <v>134</v>
      </c>
      <c r="B78" s="44"/>
      <c r="C78" s="44"/>
      <c r="D78" s="44"/>
      <c r="E78" s="44"/>
      <c r="F78" s="44"/>
      <c r="G78" s="44"/>
      <c r="H78" s="37"/>
      <c r="I78" s="38"/>
      <c r="J78" s="38"/>
      <c r="K78" s="35"/>
    </row>
    <row r="79" spans="1:11" ht="12.75">
      <c r="A79" s="22"/>
      <c r="B79" s="22"/>
      <c r="C79" s="22"/>
      <c r="D79" s="22"/>
      <c r="E79" s="22"/>
      <c r="F79" s="22"/>
      <c r="G79" s="22"/>
      <c r="H79" s="28"/>
      <c r="I79" s="22"/>
      <c r="J79" s="22"/>
      <c r="K79" s="29"/>
    </row>
    <row r="80" spans="1:13" ht="15.75">
      <c r="A80" s="20" t="s">
        <v>135</v>
      </c>
      <c r="B80" s="20"/>
      <c r="C80" s="20"/>
      <c r="D80" s="20"/>
      <c r="E80" s="20"/>
      <c r="F80" s="51"/>
      <c r="G80" s="51"/>
      <c r="H80" s="52"/>
      <c r="I80" s="51"/>
      <c r="J80" s="51"/>
      <c r="K80" s="21">
        <f>0.0205*O20</f>
        <v>118.09230000000001</v>
      </c>
      <c r="L80" s="72" t="e">
        <f>K80/309084*#REF!</f>
        <v>#REF!</v>
      </c>
      <c r="M80" s="72" t="e">
        <f>L80/309084*#REF!</f>
        <v>#REF!</v>
      </c>
    </row>
    <row r="81" spans="1:13" ht="15.75">
      <c r="A81" s="53"/>
      <c r="B81" s="54"/>
      <c r="C81" s="54"/>
      <c r="D81" s="54"/>
      <c r="E81" s="54"/>
      <c r="F81" s="53"/>
      <c r="G81" s="53"/>
      <c r="H81" s="55"/>
      <c r="I81" s="53"/>
      <c r="J81" s="53"/>
      <c r="K81" s="56"/>
      <c r="L81" s="72"/>
      <c r="M81" s="72"/>
    </row>
    <row r="82" spans="1:11" ht="15.75">
      <c r="A82" s="57" t="s">
        <v>136</v>
      </c>
      <c r="B82" s="57"/>
      <c r="C82" s="57"/>
      <c r="D82" s="58"/>
      <c r="E82" s="58"/>
      <c r="F82" s="58"/>
      <c r="G82" s="58"/>
      <c r="H82" s="59"/>
      <c r="I82" s="58"/>
      <c r="J82" s="58"/>
      <c r="K82" s="60">
        <f>K15*6%</f>
        <v>3094.5052113931724</v>
      </c>
    </row>
    <row r="83" spans="1:11" ht="15">
      <c r="A83" s="58"/>
      <c r="B83" s="61"/>
      <c r="C83" s="61"/>
      <c r="D83" s="61"/>
      <c r="E83" s="61"/>
      <c r="F83" s="61"/>
      <c r="G83" s="61"/>
      <c r="H83" s="62"/>
      <c r="I83" s="58"/>
      <c r="J83" s="58"/>
      <c r="K83" s="58"/>
    </row>
    <row r="84" spans="1:11" ht="15.75">
      <c r="A84" s="63" t="s">
        <v>137</v>
      </c>
      <c r="B84" s="63"/>
      <c r="C84" s="63"/>
      <c r="D84" s="63"/>
      <c r="E84" s="63"/>
      <c r="F84" s="63"/>
      <c r="G84" s="63"/>
      <c r="H84" s="63"/>
      <c r="I84" s="63"/>
      <c r="J84" s="63"/>
      <c r="K84" s="64">
        <f>K82+K15</f>
        <v>54669.59206794605</v>
      </c>
    </row>
    <row r="85" spans="1:11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5.75">
      <c r="A86" s="63" t="s">
        <v>138</v>
      </c>
      <c r="B86" s="63"/>
      <c r="C86" s="63"/>
      <c r="D86" s="63"/>
      <c r="E86" s="63"/>
      <c r="F86" s="63"/>
      <c r="G86" s="63"/>
      <c r="H86" s="63"/>
      <c r="I86" s="63"/>
      <c r="J86" s="63"/>
      <c r="K86" s="64">
        <f>K84/O20</f>
        <v>9.490260054151658</v>
      </c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0" spans="1:11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1:11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4"/>
    </row>
    <row r="92" spans="1:11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1" ht="15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4"/>
    </row>
    <row r="99" spans="3:9" s="65" customFormat="1" ht="15.75">
      <c r="C99" s="106" t="s">
        <v>139</v>
      </c>
      <c r="D99" s="107"/>
      <c r="E99" s="107"/>
      <c r="F99" s="107"/>
      <c r="G99" s="107"/>
      <c r="H99" s="107"/>
      <c r="I99" s="107"/>
    </row>
    <row r="100" spans="3:9" s="65" customFormat="1" ht="15.75">
      <c r="C100" s="74" t="s">
        <v>140</v>
      </c>
      <c r="D100" s="74" t="s">
        <v>141</v>
      </c>
      <c r="E100" s="74"/>
      <c r="F100" s="74"/>
      <c r="G100" s="75"/>
      <c r="H100" s="75"/>
      <c r="I100" s="75"/>
    </row>
    <row r="101" s="65" customFormat="1" ht="12.75"/>
    <row r="102" spans="5:8" s="65" customFormat="1" ht="12.75">
      <c r="E102" s="65" t="s">
        <v>142</v>
      </c>
      <c r="H102" s="65" t="e">
        <f>#REF!</f>
        <v>#REF!</v>
      </c>
    </row>
    <row r="103" spans="5:8" s="65" customFormat="1" ht="12.75">
      <c r="E103" s="65" t="s">
        <v>143</v>
      </c>
      <c r="H103" s="65" t="e">
        <f>#REF!</f>
        <v>#REF!</v>
      </c>
    </row>
    <row r="104" spans="5:8" s="65" customFormat="1" ht="12.75">
      <c r="E104" s="65" t="s">
        <v>144</v>
      </c>
      <c r="H104" s="65" t="e">
        <f>#REF!</f>
        <v>#REF!</v>
      </c>
    </row>
    <row r="105" spans="5:8" s="65" customFormat="1" ht="12.75">
      <c r="E105" s="65" t="s">
        <v>145</v>
      </c>
      <c r="H105" s="65">
        <f>O21</f>
        <v>300</v>
      </c>
    </row>
    <row r="106" spans="5:8" s="65" customFormat="1" ht="12.75">
      <c r="E106" s="65" t="s">
        <v>146</v>
      </c>
      <c r="H106" s="65" t="e">
        <f>#REF!</f>
        <v>#REF!</v>
      </c>
    </row>
    <row r="107" s="65" customFormat="1" ht="12.75"/>
    <row r="108" spans="1:11" s="65" customFormat="1" ht="15.75">
      <c r="A108" s="105" t="s">
        <v>72</v>
      </c>
      <c r="B108" s="105"/>
      <c r="C108" s="105"/>
      <c r="D108" s="105"/>
      <c r="E108" s="105"/>
      <c r="F108" s="105"/>
      <c r="G108" s="105"/>
      <c r="H108" s="76" t="e">
        <f>H110+H112+H114+H116+H118+H120+H122</f>
        <v>#REF!</v>
      </c>
      <c r="I108" s="77" t="s">
        <v>70</v>
      </c>
      <c r="K108" s="78" t="e">
        <f>H108-20000</f>
        <v>#REF!</v>
      </c>
    </row>
    <row r="109" spans="1:7" s="65" customFormat="1" ht="12.75">
      <c r="A109" s="79"/>
      <c r="B109" s="79"/>
      <c r="C109" s="79"/>
      <c r="D109" s="79"/>
      <c r="E109" s="79"/>
      <c r="F109" s="79"/>
      <c r="G109" s="79"/>
    </row>
    <row r="110" spans="1:8" s="65" customFormat="1" ht="15.75">
      <c r="A110" s="80" t="s">
        <v>147</v>
      </c>
      <c r="B110" s="80"/>
      <c r="C110" s="80"/>
      <c r="D110" s="80"/>
      <c r="E110" s="80"/>
      <c r="F110" s="80"/>
      <c r="G110" s="80"/>
      <c r="H110" s="78">
        <f>K17</f>
        <v>9600.863358125433</v>
      </c>
    </row>
    <row r="111" spans="1:8" s="65" customFormat="1" ht="12.75">
      <c r="A111" s="79"/>
      <c r="B111" s="79"/>
      <c r="C111" s="79"/>
      <c r="D111" s="79"/>
      <c r="E111" s="79"/>
      <c r="F111" s="79"/>
      <c r="G111" s="79"/>
      <c r="H111" s="78"/>
    </row>
    <row r="112" spans="1:8" s="65" customFormat="1" ht="15.75">
      <c r="A112" s="105" t="s">
        <v>95</v>
      </c>
      <c r="B112" s="105"/>
      <c r="C112" s="105"/>
      <c r="D112" s="105"/>
      <c r="E112" s="105"/>
      <c r="F112" s="80"/>
      <c r="G112" s="80"/>
      <c r="H112" s="78">
        <f>K30</f>
        <v>11256.285154000003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78"/>
    </row>
    <row r="114" spans="1:8" s="65" customFormat="1" ht="15.75">
      <c r="A114" s="105" t="s">
        <v>148</v>
      </c>
      <c r="B114" s="105"/>
      <c r="C114" s="105"/>
      <c r="D114" s="105"/>
      <c r="E114" s="105"/>
      <c r="F114" s="105"/>
      <c r="G114" s="105"/>
      <c r="H114" s="81" t="e">
        <f>#REF!</f>
        <v>#REF!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82"/>
    </row>
    <row r="116" spans="1:8" s="65" customFormat="1" ht="15.75">
      <c r="A116" s="80" t="s">
        <v>111</v>
      </c>
      <c r="B116" s="80"/>
      <c r="C116" s="80"/>
      <c r="D116" s="80"/>
      <c r="E116" s="80"/>
      <c r="F116" s="80"/>
      <c r="G116" s="80"/>
      <c r="H116" s="82" t="e">
        <f>M46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105" t="s">
        <v>149</v>
      </c>
      <c r="B118" s="105"/>
      <c r="C118" s="105"/>
      <c r="D118" s="105"/>
      <c r="E118" s="80"/>
      <c r="F118" s="80"/>
      <c r="G118" s="80"/>
      <c r="H118" s="81" t="e">
        <f>M63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83" t="s">
        <v>127</v>
      </c>
      <c r="B120" s="83"/>
      <c r="C120" s="83"/>
      <c r="D120" s="83"/>
      <c r="E120" s="83"/>
      <c r="F120" s="83"/>
      <c r="G120" s="83"/>
      <c r="H120" s="81" t="e">
        <f>M70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150</v>
      </c>
      <c r="B122" s="80"/>
      <c r="C122" s="80"/>
      <c r="D122" s="80"/>
      <c r="E122" s="80"/>
      <c r="F122" s="84"/>
      <c r="G122" s="84"/>
      <c r="H122" s="81" t="e">
        <f>L80</f>
        <v>#REF!</v>
      </c>
    </row>
    <row r="123" s="65" customFormat="1" ht="12.75"/>
    <row r="124" s="65" customFormat="1" ht="12.75"/>
    <row r="125" s="65" customFormat="1" ht="12.75">
      <c r="H125" s="65" t="s">
        <v>151</v>
      </c>
    </row>
    <row r="126" s="65" customFormat="1" ht="12.75">
      <c r="H126" s="65" t="s">
        <v>146</v>
      </c>
    </row>
    <row r="127" s="65" customFormat="1" ht="12.75">
      <c r="H127" s="65" t="s">
        <v>152</v>
      </c>
    </row>
    <row r="128" s="65" customFormat="1" ht="12.75"/>
    <row r="129" s="65" customFormat="1" ht="12.75"/>
    <row r="130" s="65" customFormat="1" ht="12.75">
      <c r="F130" s="65" t="s">
        <v>153</v>
      </c>
    </row>
    <row r="131" s="65" customFormat="1" ht="12.75">
      <c r="D131" s="65" t="s">
        <v>154</v>
      </c>
    </row>
    <row r="132" s="65" customFormat="1" ht="12.75">
      <c r="D132" s="65" t="s">
        <v>155</v>
      </c>
    </row>
    <row r="133" spans="6:13" s="65" customFormat="1" ht="12.75">
      <c r="F133" s="65" t="s">
        <v>156</v>
      </c>
      <c r="M133" s="65" t="s">
        <v>157</v>
      </c>
    </row>
    <row r="134" s="65" customFormat="1" ht="12.75">
      <c r="M134" s="65" t="s">
        <v>158</v>
      </c>
    </row>
    <row r="135" spans="1:13" s="65" customFormat="1" ht="12.75">
      <c r="A135" s="65" t="s">
        <v>159</v>
      </c>
      <c r="B135" s="65" t="s">
        <v>160</v>
      </c>
      <c r="D135" s="65" t="s">
        <v>161</v>
      </c>
      <c r="F135" s="65" t="s">
        <v>162</v>
      </c>
      <c r="G135" s="65" t="s">
        <v>163</v>
      </c>
      <c r="H135" s="65" t="s">
        <v>164</v>
      </c>
      <c r="J135" s="65" t="s">
        <v>165</v>
      </c>
      <c r="M135" s="73" t="s">
        <v>166</v>
      </c>
    </row>
    <row r="136" spans="1:14" s="65" customFormat="1" ht="12.75">
      <c r="A136" s="65" t="s">
        <v>167</v>
      </c>
      <c r="B136" s="65" t="s">
        <v>168</v>
      </c>
      <c r="D136" s="65" t="s">
        <v>169</v>
      </c>
      <c r="F136" s="65" t="s">
        <v>170</v>
      </c>
      <c r="G136" s="65" t="s">
        <v>171</v>
      </c>
      <c r="H136" s="65" t="s">
        <v>172</v>
      </c>
      <c r="J136" s="65" t="s">
        <v>173</v>
      </c>
      <c r="M136" s="65" t="s">
        <v>174</v>
      </c>
      <c r="N136" s="65">
        <v>6121.7</v>
      </c>
    </row>
    <row r="137" spans="8:9" s="65" customFormat="1" ht="12.75">
      <c r="H137" s="65" t="s">
        <v>175</v>
      </c>
      <c r="I137" s="65" t="s">
        <v>176</v>
      </c>
    </row>
    <row r="138" spans="8:13" s="65" customFormat="1" ht="12.75">
      <c r="H138" s="65" t="s">
        <v>170</v>
      </c>
      <c r="I138" s="65" t="s">
        <v>177</v>
      </c>
      <c r="M138" s="65" t="s">
        <v>178</v>
      </c>
    </row>
    <row r="139" spans="9:13" s="65" customFormat="1" ht="12.75">
      <c r="I139" s="65" t="s">
        <v>179</v>
      </c>
      <c r="M139" s="65" t="s">
        <v>158</v>
      </c>
    </row>
    <row r="140" s="65" customFormat="1" ht="12.75">
      <c r="M140" s="73" t="s">
        <v>166</v>
      </c>
    </row>
    <row r="141" spans="1:14" s="65" customFormat="1" ht="12.75">
      <c r="A141" s="65" t="s">
        <v>180</v>
      </c>
      <c r="B141" s="65" t="s">
        <v>181</v>
      </c>
      <c r="D141" s="65" t="s">
        <v>182</v>
      </c>
      <c r="M141" s="65" t="s">
        <v>174</v>
      </c>
      <c r="N141" s="65">
        <v>1460.2</v>
      </c>
    </row>
    <row r="142" spans="2:4" s="65" customFormat="1" ht="12.75">
      <c r="B142" s="65" t="s">
        <v>183</v>
      </c>
      <c r="D142" s="65" t="s">
        <v>184</v>
      </c>
    </row>
    <row r="143" spans="2:13" s="65" customFormat="1" ht="12.75">
      <c r="B143" s="65" t="s">
        <v>185</v>
      </c>
      <c r="D143" s="65" t="s">
        <v>186</v>
      </c>
      <c r="M143" s="65" t="s">
        <v>187</v>
      </c>
    </row>
    <row r="144" spans="2:13" s="65" customFormat="1" ht="12.75">
      <c r="B144" s="65" t="s">
        <v>188</v>
      </c>
      <c r="D144" s="65" t="s">
        <v>189</v>
      </c>
      <c r="M144" s="65" t="s">
        <v>158</v>
      </c>
    </row>
    <row r="145" spans="2:13" s="65" customFormat="1" ht="12.75">
      <c r="B145" s="65" t="s">
        <v>190</v>
      </c>
      <c r="M145" s="73" t="s">
        <v>166</v>
      </c>
    </row>
    <row r="146" spans="4:14" s="65" customFormat="1" ht="12.75">
      <c r="D146" s="65" t="s">
        <v>191</v>
      </c>
      <c r="M146" s="65" t="s">
        <v>174</v>
      </c>
      <c r="N146" s="65">
        <v>1168.2</v>
      </c>
    </row>
    <row r="147" spans="4:6" s="65" customFormat="1" ht="12.75">
      <c r="D147" s="65" t="s">
        <v>192</v>
      </c>
      <c r="F147" s="65" t="s">
        <v>193</v>
      </c>
    </row>
    <row r="148" spans="4:13" s="65" customFormat="1" ht="12.75">
      <c r="D148" s="65" t="s">
        <v>158</v>
      </c>
      <c r="F148" s="65" t="s">
        <v>194</v>
      </c>
      <c r="H148" s="65">
        <v>0.0687</v>
      </c>
      <c r="I148" s="65">
        <v>0</v>
      </c>
      <c r="K148" s="65">
        <f>N139/1000*H148</f>
        <v>0</v>
      </c>
      <c r="M148" s="65" t="s">
        <v>195</v>
      </c>
    </row>
    <row r="149" spans="4:13" s="65" customFormat="1" ht="12.75">
      <c r="D149" s="65" t="s">
        <v>196</v>
      </c>
      <c r="F149" s="65" t="s">
        <v>197</v>
      </c>
      <c r="H149" s="65">
        <v>0.0763</v>
      </c>
      <c r="I149" s="65">
        <v>0</v>
      </c>
      <c r="K149" s="65">
        <f>N140/1000*H149</f>
        <v>0</v>
      </c>
      <c r="M149" s="65" t="s">
        <v>158</v>
      </c>
    </row>
    <row r="150" spans="4:13" s="65" customFormat="1" ht="12.75">
      <c r="D150" s="65" t="s">
        <v>198</v>
      </c>
      <c r="F150" s="65" t="s">
        <v>199</v>
      </c>
      <c r="H150" s="65">
        <v>0.0839</v>
      </c>
      <c r="I150" s="65">
        <v>0</v>
      </c>
      <c r="K150" s="69">
        <f>N141/1000*H150</f>
        <v>0.12251078</v>
      </c>
      <c r="M150" s="73" t="s">
        <v>166</v>
      </c>
    </row>
    <row r="151" spans="6:13" s="65" customFormat="1" ht="12.75">
      <c r="F151" s="65" t="s">
        <v>200</v>
      </c>
      <c r="M151" s="65" t="s">
        <v>174</v>
      </c>
    </row>
    <row r="152" s="65" customFormat="1" ht="12.75">
      <c r="F152" s="65" t="s">
        <v>190</v>
      </c>
    </row>
    <row r="153" spans="5:9" s="65" customFormat="1" ht="12.75">
      <c r="E153" s="65" t="s">
        <v>201</v>
      </c>
      <c r="I153" s="65">
        <v>0</v>
      </c>
    </row>
    <row r="154" spans="2:4" s="65" customFormat="1" ht="12.75">
      <c r="B154" s="65" t="s">
        <v>202</v>
      </c>
      <c r="D154" s="65" t="s">
        <v>203</v>
      </c>
    </row>
    <row r="155" s="65" customFormat="1" ht="12.75">
      <c r="D155" s="65" t="s">
        <v>204</v>
      </c>
    </row>
    <row r="156" s="65" customFormat="1" ht="12.75">
      <c r="D156" s="65" t="s">
        <v>205</v>
      </c>
    </row>
    <row r="157" s="65" customFormat="1" ht="12.75">
      <c r="D157" s="65" t="s">
        <v>191</v>
      </c>
    </row>
    <row r="158" spans="4:11" s="65" customFormat="1" ht="12.75">
      <c r="D158" s="65" t="s">
        <v>158</v>
      </c>
      <c r="H158" s="65">
        <v>0.00338</v>
      </c>
      <c r="K158" s="69">
        <f>N162/1000*H158</f>
        <v>0</v>
      </c>
    </row>
    <row r="159" spans="4:11" s="65" customFormat="1" ht="12.75">
      <c r="D159" s="65" t="s">
        <v>196</v>
      </c>
      <c r="H159" s="65">
        <v>0.00376</v>
      </c>
      <c r="K159" s="69">
        <f>N163/1000*H159</f>
        <v>0</v>
      </c>
    </row>
    <row r="160" spans="4:11" s="65" customFormat="1" ht="12.75">
      <c r="D160" s="65" t="s">
        <v>198</v>
      </c>
      <c r="H160" s="65">
        <v>0.00414</v>
      </c>
      <c r="K160" s="69">
        <f>N164/1000*H160</f>
        <v>0.025343837999999997</v>
      </c>
    </row>
    <row r="161" s="65" customFormat="1" ht="12.75">
      <c r="M161" s="65" t="s">
        <v>206</v>
      </c>
    </row>
    <row r="162" spans="1:13" s="65" customFormat="1" ht="12.75">
      <c r="A162" s="65" t="s">
        <v>207</v>
      </c>
      <c r="B162" s="65" t="s">
        <v>208</v>
      </c>
      <c r="D162" s="65" t="s">
        <v>203</v>
      </c>
      <c r="M162" s="65" t="s">
        <v>158</v>
      </c>
    </row>
    <row r="163" spans="4:13" s="65" customFormat="1" ht="12.75">
      <c r="D163" s="65" t="s">
        <v>209</v>
      </c>
      <c r="M163" s="73" t="s">
        <v>166</v>
      </c>
    </row>
    <row r="164" spans="4:14" s="65" customFormat="1" ht="12.75">
      <c r="D164" s="65" t="s">
        <v>191</v>
      </c>
      <c r="M164" s="65" t="s">
        <v>174</v>
      </c>
      <c r="N164" s="65">
        <f>N136</f>
        <v>6121.7</v>
      </c>
    </row>
    <row r="165" spans="4:11" s="65" customFormat="1" ht="12.75">
      <c r="D165" s="65" t="s">
        <v>158</v>
      </c>
      <c r="H165" s="65">
        <v>0.02043</v>
      </c>
      <c r="I165" s="65">
        <v>0</v>
      </c>
      <c r="K165" s="65">
        <f>N149/1000*H165</f>
        <v>0</v>
      </c>
    </row>
    <row r="166" spans="4:13" s="65" customFormat="1" ht="12.75">
      <c r="D166" s="65" t="s">
        <v>196</v>
      </c>
      <c r="H166" s="65">
        <v>0.0227</v>
      </c>
      <c r="I166" s="65">
        <v>0</v>
      </c>
      <c r="K166" s="65">
        <f>N150/1000*H166</f>
        <v>0</v>
      </c>
      <c r="M166" s="65" t="s">
        <v>210</v>
      </c>
    </row>
    <row r="167" spans="4:13" s="65" customFormat="1" ht="12.75">
      <c r="D167" s="65" t="s">
        <v>198</v>
      </c>
      <c r="H167" s="65">
        <v>0.02497</v>
      </c>
      <c r="I167" s="65">
        <v>0</v>
      </c>
      <c r="K167" s="65">
        <f>N151/1000*H167</f>
        <v>0</v>
      </c>
      <c r="M167" s="65" t="s">
        <v>158</v>
      </c>
    </row>
    <row r="168" spans="4:13" s="65" customFormat="1" ht="12.75">
      <c r="D168" s="65" t="s">
        <v>211</v>
      </c>
      <c r="M168" s="73" t="s">
        <v>166</v>
      </c>
    </row>
    <row r="169" spans="4:14" s="65" customFormat="1" ht="12.75">
      <c r="D169" s="65" t="s">
        <v>191</v>
      </c>
      <c r="M169" s="65" t="s">
        <v>174</v>
      </c>
      <c r="N169" s="65">
        <v>119</v>
      </c>
    </row>
    <row r="170" spans="4:6" s="65" customFormat="1" ht="12.75">
      <c r="D170" s="65" t="s">
        <v>192</v>
      </c>
      <c r="F170" s="65" t="s">
        <v>193</v>
      </c>
    </row>
    <row r="171" spans="4:11" s="65" customFormat="1" ht="12.75">
      <c r="D171" s="65" t="s">
        <v>158</v>
      </c>
      <c r="H171" s="65">
        <v>0.00999</v>
      </c>
      <c r="K171" s="69">
        <f>N134/1000*H171</f>
        <v>0</v>
      </c>
    </row>
    <row r="172" spans="4:11" s="65" customFormat="1" ht="12.75">
      <c r="D172" s="65" t="s">
        <v>196</v>
      </c>
      <c r="H172" s="65">
        <v>0.0111</v>
      </c>
      <c r="K172" s="69">
        <f>N135/1000*H172</f>
        <v>0</v>
      </c>
    </row>
    <row r="173" spans="4:11" s="65" customFormat="1" ht="12.75">
      <c r="D173" s="65" t="s">
        <v>198</v>
      </c>
      <c r="H173" s="65">
        <v>0.01221</v>
      </c>
      <c r="I173" s="65">
        <v>0</v>
      </c>
      <c r="K173" s="69">
        <f>N136/1000*H173</f>
        <v>0.074745957</v>
      </c>
    </row>
    <row r="174" s="65" customFormat="1" ht="12.75">
      <c r="I174" s="65">
        <v>0</v>
      </c>
    </row>
    <row r="175" spans="5:9" s="65" customFormat="1" ht="12.75">
      <c r="E175" s="65" t="s">
        <v>201</v>
      </c>
      <c r="G175" s="65">
        <v>0</v>
      </c>
      <c r="I175" s="65">
        <v>0</v>
      </c>
    </row>
    <row r="176" spans="1:6" s="65" customFormat="1" ht="12.75">
      <c r="A176" s="65" t="s">
        <v>212</v>
      </c>
      <c r="B176" s="65" t="s">
        <v>213</v>
      </c>
      <c r="D176" s="65" t="s">
        <v>203</v>
      </c>
      <c r="F176" s="65" t="s">
        <v>193</v>
      </c>
    </row>
    <row r="177" spans="2:6" s="65" customFormat="1" ht="12.75">
      <c r="B177" s="65" t="s">
        <v>214</v>
      </c>
      <c r="D177" s="65" t="s">
        <v>209</v>
      </c>
      <c r="F177" s="65" t="s">
        <v>215</v>
      </c>
    </row>
    <row r="178" spans="4:6" s="65" customFormat="1" ht="12.75">
      <c r="D178" s="65" t="s">
        <v>191</v>
      </c>
      <c r="F178" s="65" t="s">
        <v>216</v>
      </c>
    </row>
    <row r="179" spans="4:11" s="65" customFormat="1" ht="12.75">
      <c r="D179" s="65" t="s">
        <v>158</v>
      </c>
      <c r="H179" s="65">
        <v>0.018432</v>
      </c>
      <c r="I179" s="65">
        <v>0</v>
      </c>
      <c r="K179" s="65">
        <f>N149/1000*H179</f>
        <v>0</v>
      </c>
    </row>
    <row r="180" spans="4:11" s="65" customFormat="1" ht="12.75">
      <c r="D180" s="65" t="s">
        <v>196</v>
      </c>
      <c r="H180" s="65">
        <v>0.02048</v>
      </c>
      <c r="I180" s="65">
        <v>0</v>
      </c>
      <c r="K180" s="65">
        <f>N150/1000*H180</f>
        <v>0</v>
      </c>
    </row>
    <row r="181" spans="4:11" s="65" customFormat="1" ht="12.75">
      <c r="D181" s="65" t="s">
        <v>198</v>
      </c>
      <c r="K181" s="65">
        <f>N151/1000*H181</f>
        <v>0</v>
      </c>
    </row>
    <row r="182" s="65" customFormat="1" ht="12.75">
      <c r="D182" s="65" t="s">
        <v>211</v>
      </c>
    </row>
    <row r="183" s="65" customFormat="1" ht="12.75">
      <c r="D183" s="65" t="s">
        <v>191</v>
      </c>
    </row>
    <row r="184" s="65" customFormat="1" ht="12.75">
      <c r="D184" s="65" t="s">
        <v>192</v>
      </c>
    </row>
    <row r="185" spans="4:11" s="65" customFormat="1" ht="12.75">
      <c r="D185" s="65" t="s">
        <v>158</v>
      </c>
      <c r="K185" s="69">
        <f>N134/1000*H185</f>
        <v>0</v>
      </c>
    </row>
    <row r="186" spans="4:11" s="65" customFormat="1" ht="12.75">
      <c r="D186" s="65" t="s">
        <v>196</v>
      </c>
      <c r="H186" s="65">
        <v>0.02295</v>
      </c>
      <c r="I186" s="65">
        <v>0</v>
      </c>
      <c r="K186" s="69">
        <f>N135/1000*H186</f>
        <v>0</v>
      </c>
    </row>
    <row r="187" spans="4:11" s="65" customFormat="1" ht="12.75">
      <c r="D187" s="65" t="s">
        <v>198</v>
      </c>
      <c r="H187" s="65">
        <v>0.025245</v>
      </c>
      <c r="I187" s="65">
        <v>0</v>
      </c>
      <c r="K187" s="69">
        <f>N136/1000*H187</f>
        <v>0.1545423165</v>
      </c>
    </row>
    <row r="188" spans="5:11" s="65" customFormat="1" ht="12.75">
      <c r="E188" s="65" t="s">
        <v>201</v>
      </c>
      <c r="G188" s="65">
        <v>0</v>
      </c>
      <c r="I188" s="65">
        <v>0</v>
      </c>
      <c r="K188" s="69"/>
    </row>
    <row r="189" s="65" customFormat="1" ht="12.75">
      <c r="K189" s="69"/>
    </row>
    <row r="190" spans="1:11" s="65" customFormat="1" ht="12.75">
      <c r="A190" s="65" t="s">
        <v>217</v>
      </c>
      <c r="B190" s="65" t="s">
        <v>218</v>
      </c>
      <c r="D190" s="65" t="s">
        <v>203</v>
      </c>
      <c r="K190" s="69"/>
    </row>
    <row r="191" spans="4:11" s="65" customFormat="1" ht="12.75">
      <c r="D191" s="65" t="s">
        <v>209</v>
      </c>
      <c r="K191" s="69"/>
    </row>
    <row r="192" spans="4:11" s="65" customFormat="1" ht="12.75">
      <c r="D192" s="65" t="s">
        <v>191</v>
      </c>
      <c r="K192" s="69"/>
    </row>
    <row r="193" spans="4:11" s="65" customFormat="1" ht="12.75">
      <c r="D193" s="65" t="s">
        <v>158</v>
      </c>
      <c r="H193" s="65">
        <v>0.027585</v>
      </c>
      <c r="I193" s="65">
        <v>0</v>
      </c>
      <c r="K193" s="69">
        <f>N149/1000*H193</f>
        <v>0</v>
      </c>
    </row>
    <row r="194" spans="4:11" s="65" customFormat="1" ht="12.75">
      <c r="D194" s="65" t="s">
        <v>196</v>
      </c>
      <c r="H194" s="65">
        <v>0.3065</v>
      </c>
      <c r="I194" s="65">
        <v>0</v>
      </c>
      <c r="K194" s="69">
        <f>N150/1000*H194</f>
        <v>0</v>
      </c>
    </row>
    <row r="195" spans="4:11" s="65" customFormat="1" ht="12.75">
      <c r="D195" s="65" t="s">
        <v>198</v>
      </c>
      <c r="K195" s="69">
        <f>N151/1000*H195</f>
        <v>0</v>
      </c>
    </row>
    <row r="196" spans="4:11" s="65" customFormat="1" ht="12.75">
      <c r="D196" s="65" t="s">
        <v>211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192</v>
      </c>
      <c r="K198" s="69"/>
    </row>
    <row r="199" spans="4:11" s="65" customFormat="1" ht="12.75">
      <c r="D199" s="65" t="s">
        <v>158</v>
      </c>
      <c r="K199" s="69">
        <f>N134/1000*H199</f>
        <v>0</v>
      </c>
    </row>
    <row r="200" spans="4:11" s="65" customFormat="1" ht="12.75">
      <c r="D200" s="65" t="s">
        <v>196</v>
      </c>
      <c r="H200" s="65">
        <v>0.00539</v>
      </c>
      <c r="I200" s="65">
        <v>0</v>
      </c>
      <c r="K200" s="69">
        <f>N135/1000*H200</f>
        <v>0</v>
      </c>
    </row>
    <row r="201" spans="4:11" s="65" customFormat="1" ht="12.75">
      <c r="D201" s="65" t="s">
        <v>198</v>
      </c>
      <c r="H201" s="65">
        <v>0.005929</v>
      </c>
      <c r="I201" s="65">
        <v>0</v>
      </c>
      <c r="K201" s="69">
        <f>N136/1000*H201</f>
        <v>0.0362955593</v>
      </c>
    </row>
    <row r="202" spans="5:11" s="65" customFormat="1" ht="12.75">
      <c r="E202" s="65" t="s">
        <v>201</v>
      </c>
      <c r="G202" s="65">
        <v>0</v>
      </c>
      <c r="I202" s="65">
        <v>0</v>
      </c>
      <c r="K202" s="69"/>
    </row>
    <row r="203" s="65" customFormat="1" ht="12.75">
      <c r="K203" s="69"/>
    </row>
    <row r="204" spans="1:11" s="65" customFormat="1" ht="12.75">
      <c r="A204" s="65" t="s">
        <v>219</v>
      </c>
      <c r="B204" s="65" t="s">
        <v>220</v>
      </c>
      <c r="D204" s="65" t="s">
        <v>203</v>
      </c>
      <c r="K204" s="69"/>
    </row>
    <row r="205" spans="2:11" s="65" customFormat="1" ht="12.75">
      <c r="B205" s="65" t="s">
        <v>214</v>
      </c>
      <c r="D205" s="65" t="s">
        <v>209</v>
      </c>
      <c r="K205" s="69"/>
    </row>
    <row r="206" spans="4:11" s="65" customFormat="1" ht="12.75">
      <c r="D206" s="65" t="s">
        <v>191</v>
      </c>
      <c r="K206" s="69"/>
    </row>
    <row r="207" spans="4:11" s="65" customFormat="1" ht="12.75">
      <c r="D207" s="65" t="s">
        <v>158</v>
      </c>
      <c r="H207" s="65">
        <v>0.022437</v>
      </c>
      <c r="I207" s="65">
        <v>0</v>
      </c>
      <c r="K207" s="69">
        <f>N149/1000*H207</f>
        <v>0</v>
      </c>
    </row>
    <row r="208" spans="4:11" s="65" customFormat="1" ht="12.75">
      <c r="D208" s="65" t="s">
        <v>196</v>
      </c>
      <c r="H208" s="65">
        <v>0.02493</v>
      </c>
      <c r="I208" s="65">
        <v>0</v>
      </c>
      <c r="K208" s="69">
        <f>N150/1000*H208</f>
        <v>0</v>
      </c>
    </row>
    <row r="209" spans="4:11" s="65" customFormat="1" ht="12.75">
      <c r="D209" s="65" t="s">
        <v>198</v>
      </c>
      <c r="K209" s="65">
        <f>N151/1000*H209</f>
        <v>0</v>
      </c>
    </row>
    <row r="210" s="65" customFormat="1" ht="12.75">
      <c r="D210" s="65" t="s">
        <v>211</v>
      </c>
    </row>
    <row r="211" s="65" customFormat="1" ht="12.75">
      <c r="D211" s="65" t="s">
        <v>191</v>
      </c>
    </row>
    <row r="212" s="65" customFormat="1" ht="12.75">
      <c r="D212" s="65" t="s">
        <v>192</v>
      </c>
    </row>
    <row r="213" spans="4:11" s="65" customFormat="1" ht="12.75">
      <c r="D213" s="65" t="s">
        <v>158</v>
      </c>
      <c r="K213" s="69">
        <f>N134/1000*H213</f>
        <v>0</v>
      </c>
    </row>
    <row r="214" spans="4:11" s="65" customFormat="1" ht="12.75">
      <c r="D214" s="65" t="s">
        <v>196</v>
      </c>
      <c r="H214" s="65">
        <v>0.00888</v>
      </c>
      <c r="I214" s="65">
        <v>0</v>
      </c>
      <c r="K214" s="69">
        <f>N135/1000*H214</f>
        <v>0</v>
      </c>
    </row>
    <row r="215" spans="4:11" s="65" customFormat="1" ht="12.75">
      <c r="D215" s="65" t="s">
        <v>198</v>
      </c>
      <c r="H215" s="65">
        <v>0.009768</v>
      </c>
      <c r="I215" s="65">
        <v>0</v>
      </c>
      <c r="K215" s="69">
        <f>N136/1000*H215</f>
        <v>0.0597967656</v>
      </c>
    </row>
    <row r="216" spans="5:11" s="65" customFormat="1" ht="12.75">
      <c r="E216" s="65" t="s">
        <v>201</v>
      </c>
      <c r="G216" s="65">
        <v>0</v>
      </c>
      <c r="I216" s="65">
        <v>0</v>
      </c>
      <c r="K216" s="69"/>
    </row>
    <row r="217" s="65" customFormat="1" ht="12.75">
      <c r="K217" s="69"/>
    </row>
    <row r="218" spans="2:4" s="65" customFormat="1" ht="12.75">
      <c r="B218" s="65" t="s">
        <v>221</v>
      </c>
      <c r="D218" s="65" t="s">
        <v>203</v>
      </c>
    </row>
    <row r="219" s="65" customFormat="1" ht="12.75">
      <c r="D219" s="65" t="s">
        <v>204</v>
      </c>
    </row>
    <row r="220" s="65" customFormat="1" ht="12.75">
      <c r="D220" s="65" t="s">
        <v>205</v>
      </c>
    </row>
    <row r="221" s="65" customFormat="1" ht="12.75">
      <c r="D221" s="65" t="s">
        <v>191</v>
      </c>
    </row>
    <row r="222" spans="4:11" s="65" customFormat="1" ht="12.75">
      <c r="D222" s="65" t="s">
        <v>158</v>
      </c>
      <c r="H222" s="65">
        <v>0.0243</v>
      </c>
      <c r="K222" s="69">
        <f>N162/1000*H222</f>
        <v>0</v>
      </c>
    </row>
    <row r="223" spans="4:11" s="65" customFormat="1" ht="12.75">
      <c r="D223" s="65" t="s">
        <v>196</v>
      </c>
      <c r="H223" s="65">
        <v>0.027</v>
      </c>
      <c r="K223" s="69">
        <f>N163/1000*H223</f>
        <v>0</v>
      </c>
    </row>
    <row r="224" spans="4:11" s="65" customFormat="1" ht="12.75">
      <c r="D224" s="65" t="s">
        <v>198</v>
      </c>
      <c r="H224" s="65">
        <v>0.0297</v>
      </c>
      <c r="K224" s="69">
        <f>N164/1000*H224</f>
        <v>0.18181449</v>
      </c>
    </row>
    <row r="225" spans="1:11" s="65" customFormat="1" ht="12.75">
      <c r="A225" s="65" t="s">
        <v>222</v>
      </c>
      <c r="B225" s="65" t="s">
        <v>223</v>
      </c>
      <c r="D225" s="65" t="s">
        <v>203</v>
      </c>
      <c r="K225" s="69"/>
    </row>
    <row r="226" spans="4:11" s="65" customFormat="1" ht="12.75">
      <c r="D226" s="65" t="s">
        <v>209</v>
      </c>
      <c r="K226" s="69"/>
    </row>
    <row r="227" spans="4:11" s="65" customFormat="1" ht="12.75">
      <c r="D227" s="65" t="s">
        <v>191</v>
      </c>
      <c r="K227" s="69"/>
    </row>
    <row r="228" spans="4:11" s="65" customFormat="1" ht="12.75">
      <c r="D228" s="65" t="s">
        <v>158</v>
      </c>
      <c r="H228" s="65">
        <v>0.01773</v>
      </c>
      <c r="I228" s="65">
        <v>0</v>
      </c>
      <c r="K228" s="69">
        <f>N149/1000*H228</f>
        <v>0</v>
      </c>
    </row>
    <row r="229" spans="4:11" s="65" customFormat="1" ht="12.75">
      <c r="D229" s="65" t="s">
        <v>196</v>
      </c>
      <c r="H229" s="65">
        <v>0.0197</v>
      </c>
      <c r="I229" s="65">
        <v>0</v>
      </c>
      <c r="K229" s="69">
        <f>N150/1000*H229</f>
        <v>0</v>
      </c>
    </row>
    <row r="230" spans="4:11" s="65" customFormat="1" ht="12.75">
      <c r="D230" s="65" t="s">
        <v>198</v>
      </c>
      <c r="K230" s="69">
        <f>N151/1000*H230</f>
        <v>0</v>
      </c>
    </row>
    <row r="231" spans="4:11" s="65" customFormat="1" ht="12.75">
      <c r="D231" s="65" t="s">
        <v>211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192</v>
      </c>
      <c r="K233" s="69"/>
    </row>
    <row r="234" spans="4:11" s="65" customFormat="1" ht="12.75">
      <c r="D234" s="65" t="s">
        <v>158</v>
      </c>
      <c r="K234" s="69">
        <f>N134/1000*H234</f>
        <v>0</v>
      </c>
    </row>
    <row r="235" spans="4:11" s="65" customFormat="1" ht="12.75">
      <c r="D235" s="65" t="s">
        <v>196</v>
      </c>
      <c r="H235" s="65">
        <v>0.0018</v>
      </c>
      <c r="I235" s="65">
        <v>0</v>
      </c>
      <c r="K235" s="69">
        <f>N135/1000*H235</f>
        <v>0</v>
      </c>
    </row>
    <row r="236" spans="4:11" s="65" customFormat="1" ht="12.75">
      <c r="D236" s="65" t="s">
        <v>198</v>
      </c>
      <c r="H236" s="65">
        <v>0.00198</v>
      </c>
      <c r="I236" s="65">
        <v>0</v>
      </c>
      <c r="K236" s="69">
        <f>N136/1000*H236</f>
        <v>0.012120965999999999</v>
      </c>
    </row>
    <row r="237" spans="5:11" s="65" customFormat="1" ht="12.75">
      <c r="E237" s="65" t="s">
        <v>201</v>
      </c>
      <c r="G237" s="65">
        <v>0</v>
      </c>
      <c r="I237" s="65">
        <v>0</v>
      </c>
      <c r="K237" s="69"/>
    </row>
    <row r="238" s="65" customFormat="1" ht="12.75">
      <c r="K238" s="69"/>
    </row>
    <row r="239" spans="2:7" s="65" customFormat="1" ht="12.75">
      <c r="B239" s="65" t="s">
        <v>224</v>
      </c>
      <c r="D239" s="65" t="s">
        <v>203</v>
      </c>
      <c r="G239" s="65" t="s">
        <v>225</v>
      </c>
    </row>
    <row r="240" spans="4:7" s="65" customFormat="1" ht="12.75">
      <c r="D240" s="65" t="s">
        <v>204</v>
      </c>
      <c r="G240" s="65" t="s">
        <v>226</v>
      </c>
    </row>
    <row r="241" spans="4:7" s="65" customFormat="1" ht="12.75">
      <c r="D241" s="65" t="s">
        <v>205</v>
      </c>
      <c r="G241" s="65" t="s">
        <v>227</v>
      </c>
    </row>
    <row r="242" s="65" customFormat="1" ht="12.75">
      <c r="D242" s="65" t="s">
        <v>191</v>
      </c>
    </row>
    <row r="243" spans="4:11" s="65" customFormat="1" ht="12.75">
      <c r="D243" s="65" t="s">
        <v>158</v>
      </c>
      <c r="H243" s="65">
        <v>0.02367</v>
      </c>
      <c r="K243" s="69">
        <f>N144/1000*H243</f>
        <v>0</v>
      </c>
    </row>
    <row r="244" spans="4:11" s="65" customFormat="1" ht="12.75">
      <c r="D244" s="65" t="s">
        <v>196</v>
      </c>
      <c r="H244" s="65">
        <v>0.0263</v>
      </c>
      <c r="K244" s="69">
        <f>N145/1000*H244</f>
        <v>0</v>
      </c>
    </row>
    <row r="245" spans="4:11" s="65" customFormat="1" ht="12.75">
      <c r="D245" s="65" t="s">
        <v>198</v>
      </c>
      <c r="H245" s="65">
        <v>0.02893</v>
      </c>
      <c r="K245" s="69">
        <f>N146/1000*H245</f>
        <v>0.03379602600000001</v>
      </c>
    </row>
    <row r="246" s="65" customFormat="1" ht="12.75">
      <c r="K246" s="69"/>
    </row>
    <row r="247" spans="1:11" s="65" customFormat="1" ht="12.75">
      <c r="A247" s="65" t="s">
        <v>228</v>
      </c>
      <c r="B247" s="65" t="s">
        <v>229</v>
      </c>
      <c r="D247" s="65" t="s">
        <v>203</v>
      </c>
      <c r="K247" s="69"/>
    </row>
    <row r="248" spans="2:11" s="65" customFormat="1" ht="12.75">
      <c r="B248" s="65" t="s">
        <v>230</v>
      </c>
      <c r="D248" s="65" t="s">
        <v>209</v>
      </c>
      <c r="K248" s="69"/>
    </row>
    <row r="249" spans="4:11" s="65" customFormat="1" ht="12.75">
      <c r="D249" s="65" t="s">
        <v>191</v>
      </c>
      <c r="K249" s="69"/>
    </row>
    <row r="250" spans="4:11" s="65" customFormat="1" ht="12.75">
      <c r="D250" s="65" t="s">
        <v>158</v>
      </c>
      <c r="H250" s="65">
        <v>0.014679</v>
      </c>
      <c r="I250" s="65">
        <v>0</v>
      </c>
      <c r="K250" s="69">
        <f>N149/1000*H250</f>
        <v>0</v>
      </c>
    </row>
    <row r="251" spans="4:11" s="65" customFormat="1" ht="12.75">
      <c r="D251" s="65" t="s">
        <v>196</v>
      </c>
      <c r="H251" s="65">
        <v>0.01631</v>
      </c>
      <c r="I251" s="65">
        <v>0</v>
      </c>
      <c r="K251" s="69">
        <f>N150/1000*H251</f>
        <v>0</v>
      </c>
    </row>
    <row r="252" spans="4:11" s="65" customFormat="1" ht="12.75">
      <c r="D252" s="65" t="s">
        <v>198</v>
      </c>
      <c r="K252" s="69">
        <f>N151/1000*H252</f>
        <v>0</v>
      </c>
    </row>
    <row r="253" spans="4:11" s="65" customFormat="1" ht="12.75">
      <c r="D253" s="65" t="s">
        <v>211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192</v>
      </c>
      <c r="K255" s="69"/>
    </row>
    <row r="256" spans="4:11" s="65" customFormat="1" ht="12.75">
      <c r="D256" s="65" t="s">
        <v>158</v>
      </c>
      <c r="K256" s="69">
        <f>N134/1000*H256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N135/1000*H257</f>
        <v>0</v>
      </c>
    </row>
    <row r="258" spans="4:11" s="65" customFormat="1" ht="12.75">
      <c r="D258" s="65" t="s">
        <v>198</v>
      </c>
      <c r="H258" s="65">
        <v>0.017941</v>
      </c>
      <c r="I258" s="65">
        <v>0</v>
      </c>
      <c r="K258" s="69">
        <f>N136/1000*H258</f>
        <v>0.10982941969999999</v>
      </c>
    </row>
    <row r="259" spans="5:11" s="65" customFormat="1" ht="12.75">
      <c r="E259" s="65" t="s">
        <v>201</v>
      </c>
      <c r="G259" s="65">
        <v>0</v>
      </c>
      <c r="I259" s="65">
        <v>0</v>
      </c>
      <c r="K259" s="69"/>
    </row>
    <row r="260" s="65" customFormat="1" ht="12.75">
      <c r="K260" s="69"/>
    </row>
    <row r="261" spans="1:11" s="65" customFormat="1" ht="12.75">
      <c r="A261" s="65" t="s">
        <v>231</v>
      </c>
      <c r="B261" s="65" t="s">
        <v>232</v>
      </c>
      <c r="D261" s="65" t="s">
        <v>203</v>
      </c>
      <c r="K261" s="69"/>
    </row>
    <row r="262" spans="2:11" s="65" customFormat="1" ht="12.75">
      <c r="B262" s="65" t="s">
        <v>233</v>
      </c>
      <c r="D262" s="65" t="s">
        <v>211</v>
      </c>
      <c r="K262" s="69"/>
    </row>
    <row r="263" spans="4:11" s="65" customFormat="1" ht="12.75">
      <c r="D263" s="65" t="s">
        <v>209</v>
      </c>
      <c r="K263" s="69"/>
    </row>
    <row r="264" spans="4:11" s="65" customFormat="1" ht="12.75">
      <c r="D264" s="65" t="s">
        <v>234</v>
      </c>
      <c r="K264" s="69"/>
    </row>
    <row r="265" spans="4:11" s="65" customFormat="1" ht="12.75">
      <c r="D265" s="65" t="s">
        <v>235</v>
      </c>
      <c r="F265" s="65" t="s">
        <v>236</v>
      </c>
      <c r="K265" s="69"/>
    </row>
    <row r="266" spans="4:11" s="65" customFormat="1" ht="12.75">
      <c r="D266" s="65" t="s">
        <v>191</v>
      </c>
      <c r="F266" s="65" t="s">
        <v>237</v>
      </c>
      <c r="K266" s="69"/>
    </row>
    <row r="267" spans="4:11" s="65" customFormat="1" ht="12.75">
      <c r="D267" s="65" t="s">
        <v>158</v>
      </c>
      <c r="H267" s="65">
        <v>41000</v>
      </c>
      <c r="I267" s="65">
        <v>0</v>
      </c>
      <c r="K267" s="69">
        <f>N162/H267</f>
        <v>0</v>
      </c>
    </row>
    <row r="268" spans="4:11" s="65" customFormat="1" ht="12.75">
      <c r="D268" s="65" t="s">
        <v>196</v>
      </c>
      <c r="H268" s="65">
        <v>39000</v>
      </c>
      <c r="I268" s="65">
        <v>0</v>
      </c>
      <c r="K268" s="69">
        <f>N163/H268</f>
        <v>0</v>
      </c>
    </row>
    <row r="269" spans="4:11" s="65" customFormat="1" ht="12.75">
      <c r="D269" s="65" t="s">
        <v>198</v>
      </c>
      <c r="H269" s="65">
        <v>37000</v>
      </c>
      <c r="I269" s="65">
        <v>0</v>
      </c>
      <c r="K269" s="69">
        <f>N164/H269</f>
        <v>0.16545135135135133</v>
      </c>
    </row>
    <row r="270" s="65" customFormat="1" ht="12.75">
      <c r="K270" s="69"/>
    </row>
    <row r="271" spans="4:11" s="65" customFormat="1" ht="12.75">
      <c r="D271" s="65" t="s">
        <v>238</v>
      </c>
      <c r="K271" s="69"/>
    </row>
    <row r="272" spans="4:11" s="65" customFormat="1" ht="12.75">
      <c r="D272" s="65" t="s">
        <v>239</v>
      </c>
      <c r="F272" s="65" t="s">
        <v>240</v>
      </c>
      <c r="K272" s="69"/>
    </row>
    <row r="273" spans="4:11" s="65" customFormat="1" ht="12.75">
      <c r="D273" s="65" t="s">
        <v>191</v>
      </c>
      <c r="K273" s="69"/>
    </row>
    <row r="274" spans="4:11" s="65" customFormat="1" ht="12.75">
      <c r="D274" s="65" t="s">
        <v>158</v>
      </c>
      <c r="H274" s="65">
        <v>450</v>
      </c>
      <c r="I274" s="65">
        <v>0</v>
      </c>
      <c r="K274" s="69">
        <f>N167/H274</f>
        <v>0</v>
      </c>
    </row>
    <row r="275" spans="4:11" s="65" customFormat="1" ht="12.75">
      <c r="D275" s="65" t="s">
        <v>196</v>
      </c>
      <c r="H275" s="65">
        <v>375</v>
      </c>
      <c r="I275" s="65">
        <v>0</v>
      </c>
      <c r="K275" s="69">
        <f>N168/H275</f>
        <v>0</v>
      </c>
    </row>
    <row r="276" spans="4:11" s="65" customFormat="1" ht="12.75">
      <c r="D276" s="65" t="s">
        <v>198</v>
      </c>
      <c r="H276" s="65">
        <v>310</v>
      </c>
      <c r="I276" s="65">
        <v>0</v>
      </c>
      <c r="K276" s="69">
        <f>N169/H276</f>
        <v>0.38387096774193546</v>
      </c>
    </row>
    <row r="277" spans="5:11" s="65" customFormat="1" ht="12.75">
      <c r="E277" s="65" t="s">
        <v>201</v>
      </c>
      <c r="G277" s="65">
        <v>0</v>
      </c>
      <c r="I277" s="65">
        <v>0</v>
      </c>
      <c r="K277" s="69"/>
    </row>
    <row r="278" s="65" customFormat="1" ht="12.75">
      <c r="K278" s="69"/>
    </row>
    <row r="279" spans="1:11" s="65" customFormat="1" ht="12.75">
      <c r="A279" s="65" t="s">
        <v>241</v>
      </c>
      <c r="B279" s="65" t="s">
        <v>242</v>
      </c>
      <c r="D279" s="65" t="s">
        <v>243</v>
      </c>
      <c r="K279" s="69"/>
    </row>
    <row r="280" spans="4:11" s="65" customFormat="1" ht="12.75">
      <c r="D280" s="65" t="s">
        <v>244</v>
      </c>
      <c r="F280" s="65" t="s">
        <v>240</v>
      </c>
      <c r="K280" s="69"/>
    </row>
    <row r="281" spans="4:11" s="65" customFormat="1" ht="12.75">
      <c r="D281" s="65" t="s">
        <v>245</v>
      </c>
      <c r="K281" s="69"/>
    </row>
    <row r="282" spans="4:11" s="65" customFormat="1" ht="12.75">
      <c r="D282" s="65" t="s">
        <v>158</v>
      </c>
      <c r="H282" s="65">
        <v>2350</v>
      </c>
      <c r="I282" s="65">
        <v>0</v>
      </c>
      <c r="K282" s="69">
        <f>N167/H282</f>
        <v>0</v>
      </c>
    </row>
    <row r="283" spans="4:11" s="65" customFormat="1" ht="12.75">
      <c r="D283" s="65" t="s">
        <v>196</v>
      </c>
      <c r="H283" s="65">
        <v>2250</v>
      </c>
      <c r="I283" s="65">
        <v>0</v>
      </c>
      <c r="K283" s="69">
        <f>N168/H283</f>
        <v>0</v>
      </c>
    </row>
    <row r="284" spans="4:11" s="65" customFormat="1" ht="12.75">
      <c r="D284" s="65" t="s">
        <v>198</v>
      </c>
      <c r="H284" s="65">
        <v>2200</v>
      </c>
      <c r="I284" s="65">
        <v>0</v>
      </c>
      <c r="K284" s="69">
        <f>N169/H284</f>
        <v>0.05409090909090909</v>
      </c>
    </row>
    <row r="285" spans="5:11" s="65" customFormat="1" ht="12.75">
      <c r="E285" s="65" t="s">
        <v>201</v>
      </c>
      <c r="G285" s="65">
        <v>0</v>
      </c>
      <c r="I285" s="65">
        <v>0</v>
      </c>
      <c r="K285" s="69"/>
    </row>
    <row r="286" s="65" customFormat="1" ht="12.75">
      <c r="K286" s="69">
        <f>K148+K149+K150+K158+K159+K160+K165+K166+K167+K171+K172+K173+K179+K180+K181+K185+K186+K187+K193+K194+K195+K199+K200+K201+K207+K208+K209+K213+K214+K215+K222+K223+K224+K228+K229+K230+K234+K235+K236+K243+K244+K245+K250+K251+K252+K256+K257+K258+K267+K268+K269+K274+K275+K276+K282+K283+K284</f>
        <v>1.414209346284196</v>
      </c>
    </row>
    <row r="287" spans="1:11" s="65" customFormat="1" ht="12.75">
      <c r="A287" s="65" t="s">
        <v>246</v>
      </c>
      <c r="B287" s="65" t="s">
        <v>247</v>
      </c>
      <c r="F287" s="65" t="s">
        <v>248</v>
      </c>
      <c r="I287" s="65">
        <v>1</v>
      </c>
      <c r="K287" s="69">
        <f>K286*1.12</f>
        <v>1.5839144678382997</v>
      </c>
    </row>
    <row r="288" s="65" customFormat="1" ht="12.75">
      <c r="B288" s="65" t="s">
        <v>249</v>
      </c>
    </row>
    <row r="289" s="65" customFormat="1" ht="12.75">
      <c r="B289" s="65" t="s">
        <v>250</v>
      </c>
    </row>
    <row r="290" s="65" customFormat="1" ht="12.75"/>
    <row r="291" spans="1:9" s="65" customFormat="1" ht="12.75">
      <c r="A291" s="65" t="s">
        <v>251</v>
      </c>
      <c r="B291" s="65" t="s">
        <v>252</v>
      </c>
      <c r="I291" s="65">
        <v>2</v>
      </c>
    </row>
    <row r="292" spans="1:9" s="65" customFormat="1" ht="12.75">
      <c r="A292" s="65" t="s">
        <v>253</v>
      </c>
      <c r="B292" s="65" t="s">
        <v>254</v>
      </c>
      <c r="I292" s="65">
        <v>1</v>
      </c>
    </row>
    <row r="293" spans="1:9" s="65" customFormat="1" ht="12.75">
      <c r="A293" s="65" t="s">
        <v>255</v>
      </c>
      <c r="B293" s="65" t="s">
        <v>256</v>
      </c>
      <c r="I293" s="65">
        <v>1</v>
      </c>
    </row>
    <row r="294" spans="2:9" s="65" customFormat="1" ht="12.75">
      <c r="B294" s="65" t="s">
        <v>257</v>
      </c>
      <c r="I294" s="65">
        <v>5</v>
      </c>
    </row>
    <row r="295" s="65" customFormat="1" ht="12.75">
      <c r="F295" s="65" t="s">
        <v>258</v>
      </c>
    </row>
    <row r="296" spans="1:9" s="65" customFormat="1" ht="12.75">
      <c r="A296" s="65" t="s">
        <v>259</v>
      </c>
      <c r="B296" s="65" t="s">
        <v>260</v>
      </c>
      <c r="E296" s="65" t="s">
        <v>261</v>
      </c>
      <c r="H296" s="65">
        <v>1200</v>
      </c>
      <c r="I296" s="65">
        <f>G296/H296</f>
        <v>0</v>
      </c>
    </row>
    <row r="297" spans="5:9" s="65" customFormat="1" ht="12.75">
      <c r="E297" s="65" t="s">
        <v>262</v>
      </c>
      <c r="G297" s="65">
        <v>840</v>
      </c>
      <c r="H297" s="65">
        <v>1650</v>
      </c>
      <c r="I297" s="69">
        <f>G297/H297</f>
        <v>0.509090909090909</v>
      </c>
    </row>
    <row r="298" spans="5:9" s="65" customFormat="1" ht="12.75">
      <c r="E298" s="65" t="s">
        <v>263</v>
      </c>
      <c r="G298" s="65">
        <v>5751</v>
      </c>
      <c r="H298" s="65">
        <v>9000</v>
      </c>
      <c r="I298" s="69">
        <f>G298/H298</f>
        <v>0.639</v>
      </c>
    </row>
    <row r="299" spans="3:9" s="65" customFormat="1" ht="12.75">
      <c r="C299" s="65" t="s">
        <v>201</v>
      </c>
      <c r="G299" s="65">
        <f>G296+G297+G298</f>
        <v>6591</v>
      </c>
      <c r="I299" s="69">
        <f>I296+I297+I298</f>
        <v>1.148090909090909</v>
      </c>
    </row>
    <row r="300" s="65" customFormat="1" ht="12.75">
      <c r="F300" s="65" t="s">
        <v>258</v>
      </c>
    </row>
    <row r="301" spans="1:9" s="65" customFormat="1" ht="12.75">
      <c r="A301" s="65" t="s">
        <v>264</v>
      </c>
      <c r="B301" s="65" t="s">
        <v>265</v>
      </c>
      <c r="E301" s="65" t="s">
        <v>266</v>
      </c>
      <c r="G301" s="65">
        <v>556.3</v>
      </c>
      <c r="H301" s="65">
        <v>800</v>
      </c>
      <c r="I301" s="69">
        <f>G301/H301</f>
        <v>0.695375</v>
      </c>
    </row>
    <row r="302" spans="2:9" s="65" customFormat="1" ht="12.75">
      <c r="B302" s="65" t="s">
        <v>267</v>
      </c>
      <c r="E302" s="65" t="s">
        <v>268</v>
      </c>
      <c r="H302" s="65">
        <v>960</v>
      </c>
      <c r="I302" s="69">
        <f>G302/H302</f>
        <v>0</v>
      </c>
    </row>
    <row r="303" s="65" customFormat="1" ht="12.75">
      <c r="E303" s="65" t="s">
        <v>269</v>
      </c>
    </row>
    <row r="304" spans="3:9" s="65" customFormat="1" ht="12.75">
      <c r="C304" s="65" t="s">
        <v>201</v>
      </c>
      <c r="G304" s="65">
        <f>G301+G302+G303</f>
        <v>556.3</v>
      </c>
      <c r="I304" s="69">
        <f>I301+I302</f>
        <v>0.695375</v>
      </c>
    </row>
    <row r="305" s="65" customFormat="1" ht="12.75">
      <c r="F305" s="65" t="s">
        <v>270</v>
      </c>
    </row>
    <row r="306" spans="1:9" s="65" customFormat="1" ht="12.75">
      <c r="A306" s="65" t="s">
        <v>271</v>
      </c>
      <c r="B306" s="65" t="s">
        <v>272</v>
      </c>
      <c r="E306" s="65" t="s">
        <v>273</v>
      </c>
      <c r="H306" s="65">
        <v>500</v>
      </c>
      <c r="I306" s="69">
        <f>G306/H306</f>
        <v>0</v>
      </c>
    </row>
    <row r="307" spans="5:9" s="65" customFormat="1" ht="12.75">
      <c r="E307" s="65" t="s">
        <v>274</v>
      </c>
      <c r="H307" s="65">
        <v>700</v>
      </c>
      <c r="I307" s="69">
        <f>G307/H307</f>
        <v>0</v>
      </c>
    </row>
    <row r="308" s="65" customFormat="1" ht="12.75">
      <c r="E308" s="65" t="s">
        <v>275</v>
      </c>
    </row>
    <row r="309" spans="3:9" s="65" customFormat="1" ht="12.75">
      <c r="C309" s="65" t="s">
        <v>201</v>
      </c>
      <c r="G309" s="65">
        <f>G306+G307</f>
        <v>0</v>
      </c>
      <c r="I309" s="69">
        <f>I306+I307</f>
        <v>0</v>
      </c>
    </row>
    <row r="310" spans="1:2" s="65" customFormat="1" ht="12.75">
      <c r="A310" s="65" t="s">
        <v>276</v>
      </c>
      <c r="B310" s="65" t="s">
        <v>277</v>
      </c>
    </row>
    <row r="311" spans="2:9" s="65" customFormat="1" ht="12.75">
      <c r="B311" s="65" t="s">
        <v>278</v>
      </c>
      <c r="I311" s="65">
        <v>2</v>
      </c>
    </row>
    <row r="312" s="65" customFormat="1" ht="12.75"/>
  </sheetData>
  <sheetProtection/>
  <mergeCells count="45">
    <mergeCell ref="A108:G108"/>
    <mergeCell ref="A112:E112"/>
    <mergeCell ref="A114:G114"/>
    <mergeCell ref="A118:D118"/>
    <mergeCell ref="C99:I99"/>
    <mergeCell ref="C71:D71"/>
    <mergeCell ref="A74:F74"/>
    <mergeCell ref="A75:G75"/>
    <mergeCell ref="A76:D76"/>
    <mergeCell ref="E76:G76"/>
    <mergeCell ref="A77:E77"/>
    <mergeCell ref="A56:G56"/>
    <mergeCell ref="A57:G57"/>
    <mergeCell ref="A59:F59"/>
    <mergeCell ref="A63:D63"/>
    <mergeCell ref="A64:F64"/>
    <mergeCell ref="A67:E67"/>
    <mergeCell ref="A43:F43"/>
    <mergeCell ref="A44:F44"/>
    <mergeCell ref="A49:F49"/>
    <mergeCell ref="A53:G53"/>
    <mergeCell ref="A55:G55"/>
    <mergeCell ref="A36:G36"/>
    <mergeCell ref="A37:G37"/>
    <mergeCell ref="A38:G38"/>
    <mergeCell ref="A40:G40"/>
    <mergeCell ref="A41:G41"/>
    <mergeCell ref="A42:G42"/>
    <mergeCell ref="A28:G28"/>
    <mergeCell ref="A30:E30"/>
    <mergeCell ref="A32:G32"/>
    <mergeCell ref="A33:G33"/>
    <mergeCell ref="A34:G34"/>
    <mergeCell ref="A35:G35"/>
    <mergeCell ref="A15:G15"/>
    <mergeCell ref="A19:F19"/>
    <mergeCell ref="A21:F21"/>
    <mergeCell ref="A24:F24"/>
    <mergeCell ref="A26:G26"/>
    <mergeCell ref="A27:G27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6 M56 M63 M70 L80:M80 H102:H104 H106 H108 K108 H114 H116 H118 H120 H122" evalError="1"/>
  </ignoredError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P317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7" width="9.140625" style="6" customWidth="1"/>
    <col min="8" max="8" width="9.421875" style="6" customWidth="1"/>
    <col min="9" max="9" width="11.140625" style="6" customWidth="1"/>
    <col min="10" max="10" width="8.28125" style="6" hidden="1" customWidth="1"/>
    <col min="11" max="11" width="14.0039062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1009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2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65">
        <f>9.11*1.042</f>
        <v>9.49262</v>
      </c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9.49*0.04</f>
        <v>0.3796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54345.3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K17+K34+K49+K66+K73+K83</f>
        <v>51281.23215951258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H19+H21+H22+H25+H27+H29+H31+H32</f>
        <v>9627.433488390685</v>
      </c>
      <c r="M17" s="65" t="s">
        <v>76</v>
      </c>
      <c r="O17" s="69">
        <f>I305</f>
        <v>1.148090909090909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I310</f>
        <v>0.70375</v>
      </c>
    </row>
    <row r="19" spans="1:15" ht="12.75">
      <c r="A19" s="113" t="s">
        <v>281</v>
      </c>
      <c r="B19" s="113"/>
      <c r="C19" s="113"/>
      <c r="D19" s="113"/>
      <c r="E19" s="113"/>
      <c r="F19" s="113"/>
      <c r="G19" s="22"/>
      <c r="H19" s="23">
        <f>O17*2600*1.75*1.07</f>
        <v>5589.480590909092</v>
      </c>
      <c r="I19" s="22"/>
      <c r="J19" s="22"/>
      <c r="K19" s="23"/>
      <c r="M19" s="65" t="s">
        <v>80</v>
      </c>
      <c r="O19" s="69"/>
    </row>
    <row r="20" spans="1:15" ht="12.75" hidden="1">
      <c r="A20" s="24"/>
      <c r="B20" s="24"/>
      <c r="C20" s="24"/>
      <c r="D20" s="24"/>
      <c r="E20" s="24"/>
      <c r="F20" s="24"/>
      <c r="G20" s="22"/>
      <c r="H20" s="23"/>
      <c r="I20" s="22"/>
      <c r="J20" s="22"/>
      <c r="K20" s="23"/>
      <c r="M20" s="65" t="s">
        <v>82</v>
      </c>
      <c r="O20" s="69">
        <v>5725</v>
      </c>
    </row>
    <row r="21" spans="1:15" ht="12.75">
      <c r="A21" s="113" t="s">
        <v>541</v>
      </c>
      <c r="B21" s="113"/>
      <c r="C21" s="113"/>
      <c r="D21" s="113"/>
      <c r="E21" s="113"/>
      <c r="F21" s="113"/>
      <c r="G21" s="22"/>
      <c r="H21" s="23">
        <f>O18*2203*1.3*1.07</f>
        <v>2156.5524987500003</v>
      </c>
      <c r="I21" s="22"/>
      <c r="J21" s="22"/>
      <c r="K21" s="23"/>
      <c r="M21" s="65" t="s">
        <v>83</v>
      </c>
      <c r="O21" s="65">
        <v>248</v>
      </c>
    </row>
    <row r="22" spans="1:16" ht="12.75">
      <c r="A22" s="23">
        <f>H19+H21</f>
        <v>7746.033089659092</v>
      </c>
      <c r="B22" s="22" t="s">
        <v>84</v>
      </c>
      <c r="C22" s="22"/>
      <c r="D22" s="22"/>
      <c r="E22" s="22"/>
      <c r="F22" s="22"/>
      <c r="G22" s="22"/>
      <c r="H22" s="23">
        <f>(H19+H21)*14.2%</f>
        <v>1099.936698731591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1" ht="12.75" hidden="1">
      <c r="A24" s="22"/>
      <c r="B24" s="22"/>
      <c r="C24" s="22"/>
      <c r="D24" s="22"/>
      <c r="E24" s="22"/>
      <c r="F24" s="22"/>
      <c r="G24" s="22"/>
      <c r="H24" s="23"/>
      <c r="I24" s="22"/>
      <c r="J24" s="22"/>
      <c r="K24" s="23"/>
    </row>
    <row r="25" spans="1:16" ht="12.75">
      <c r="A25" s="113" t="s">
        <v>1010</v>
      </c>
      <c r="B25" s="113"/>
      <c r="C25" s="113"/>
      <c r="D25" s="113"/>
      <c r="E25" s="113"/>
      <c r="F25" s="113"/>
      <c r="G25" s="22"/>
      <c r="H25" s="23">
        <f>0.057*O20</f>
        <v>326.325</v>
      </c>
      <c r="I25" s="23"/>
      <c r="J25" s="22"/>
      <c r="K25" s="23"/>
      <c r="N25" s="65">
        <v>10</v>
      </c>
      <c r="P25" s="65">
        <f>O25/2</f>
        <v>0</v>
      </c>
    </row>
    <row r="26" spans="1:11" ht="12.75" hidden="1">
      <c r="A26" s="24"/>
      <c r="B26" s="24"/>
      <c r="C26" s="24"/>
      <c r="D26" s="24"/>
      <c r="E26" s="24"/>
      <c r="F26" s="24"/>
      <c r="G26" s="22"/>
      <c r="H26" s="23"/>
      <c r="I26" s="23"/>
      <c r="J26" s="22"/>
      <c r="K26" s="23"/>
    </row>
    <row r="27" spans="1:14" ht="12.75" customHeight="1">
      <c r="A27" s="113" t="s">
        <v>1011</v>
      </c>
      <c r="B27" s="113"/>
      <c r="C27" s="113"/>
      <c r="D27" s="113"/>
      <c r="E27" s="113"/>
      <c r="F27" s="113"/>
      <c r="G27" s="113"/>
      <c r="H27" s="23">
        <f>0.0085*O21</f>
        <v>2.108</v>
      </c>
      <c r="I27" s="23"/>
      <c r="J27" s="22"/>
      <c r="K27" s="23"/>
      <c r="N27" s="65">
        <v>16</v>
      </c>
    </row>
    <row r="28" spans="1:11" ht="12.75" hidden="1">
      <c r="A28" s="24"/>
      <c r="B28" s="24"/>
      <c r="C28" s="24"/>
      <c r="D28" s="24"/>
      <c r="E28" s="24"/>
      <c r="F28" s="24"/>
      <c r="G28" s="24"/>
      <c r="H28" s="23"/>
      <c r="I28" s="23"/>
      <c r="J28" s="22"/>
      <c r="K28" s="23"/>
    </row>
    <row r="29" spans="1:13" ht="12.75">
      <c r="A29" s="113" t="s">
        <v>1012</v>
      </c>
      <c r="B29" s="113"/>
      <c r="C29" s="113"/>
      <c r="D29" s="113"/>
      <c r="E29" s="113"/>
      <c r="F29" s="113"/>
      <c r="G29" s="113"/>
      <c r="H29" s="23">
        <f>0.005*O20</f>
        <v>28.625</v>
      </c>
      <c r="I29" s="22"/>
      <c r="J29" s="22"/>
      <c r="K29" s="23"/>
      <c r="M29" s="65" t="s">
        <v>90</v>
      </c>
    </row>
    <row r="30" spans="1:11" ht="12.75" hidden="1">
      <c r="A30" s="24"/>
      <c r="B30" s="24"/>
      <c r="C30" s="24"/>
      <c r="D30" s="24"/>
      <c r="E30" s="24"/>
      <c r="F30" s="24"/>
      <c r="G30" s="24"/>
      <c r="H30" s="23"/>
      <c r="I30" s="22"/>
      <c r="J30" s="22"/>
      <c r="K30" s="23"/>
    </row>
    <row r="31" spans="1:15" ht="12.75">
      <c r="A31" s="113" t="s">
        <v>1013</v>
      </c>
      <c r="B31" s="113"/>
      <c r="C31" s="113"/>
      <c r="D31" s="113"/>
      <c r="E31" s="113"/>
      <c r="F31" s="113"/>
      <c r="G31" s="113"/>
      <c r="H31" s="23">
        <f>O20*0.017</f>
        <v>97.325</v>
      </c>
      <c r="I31" s="22"/>
      <c r="J31" s="22">
        <v>13606.82</v>
      </c>
      <c r="K31" s="23"/>
      <c r="M31" s="65" t="s">
        <v>92</v>
      </c>
      <c r="O31" s="65">
        <v>48</v>
      </c>
    </row>
    <row r="32" spans="1:16" ht="12.75">
      <c r="A32" s="113" t="s">
        <v>93</v>
      </c>
      <c r="B32" s="113"/>
      <c r="C32" s="113"/>
      <c r="D32" s="113"/>
      <c r="E32" s="113"/>
      <c r="F32" s="113"/>
      <c r="G32" s="113"/>
      <c r="H32" s="23">
        <f>0.054*O20*1.058</f>
        <v>327.0807</v>
      </c>
      <c r="I32" s="22"/>
      <c r="J32" s="22"/>
      <c r="K32" s="23"/>
      <c r="M32" s="65" t="s">
        <v>94</v>
      </c>
      <c r="O32" s="65">
        <v>1260</v>
      </c>
      <c r="P32" s="65">
        <v>504</v>
      </c>
    </row>
    <row r="33" spans="1:11" ht="12.75">
      <c r="A33" s="24"/>
      <c r="B33" s="24"/>
      <c r="C33" s="24"/>
      <c r="D33" s="24"/>
      <c r="E33" s="24"/>
      <c r="F33" s="24"/>
      <c r="G33" s="24"/>
      <c r="H33" s="23"/>
      <c r="I33" s="22"/>
      <c r="J33" s="22"/>
      <c r="K33" s="23"/>
    </row>
    <row r="34" spans="1:15" ht="15.75">
      <c r="A34" s="110" t="s">
        <v>95</v>
      </c>
      <c r="B34" s="110"/>
      <c r="C34" s="110"/>
      <c r="D34" s="110"/>
      <c r="E34" s="110"/>
      <c r="F34" s="20"/>
      <c r="G34" s="20"/>
      <c r="H34" s="27"/>
      <c r="I34" s="20"/>
      <c r="J34" s="20"/>
      <c r="K34" s="21">
        <f>H36+H37+H38+H39+H40+H41+H42+H43+H44+H45+H46+H47</f>
        <v>8421.565144444445</v>
      </c>
      <c r="M34" s="65" t="s">
        <v>96</v>
      </c>
      <c r="O34" s="69">
        <f>K293</f>
        <v>1.5783672648229483</v>
      </c>
    </row>
    <row r="35" spans="1:15" ht="12.75">
      <c r="A35" s="22"/>
      <c r="B35" s="22" t="s">
        <v>64</v>
      </c>
      <c r="C35" s="22"/>
      <c r="D35" s="22"/>
      <c r="E35" s="22"/>
      <c r="F35" s="22"/>
      <c r="G35" s="22"/>
      <c r="H35" s="28"/>
      <c r="I35" s="22"/>
      <c r="J35" s="22"/>
      <c r="K35" s="29"/>
      <c r="M35" s="65" t="s">
        <v>97</v>
      </c>
      <c r="O35" s="69">
        <f>O21*1.5/12/11.25</f>
        <v>2.7555555555555555</v>
      </c>
    </row>
    <row r="36" spans="1:11" ht="12.75">
      <c r="A36" s="113" t="s">
        <v>1014</v>
      </c>
      <c r="B36" s="113"/>
      <c r="C36" s="113"/>
      <c r="D36" s="113"/>
      <c r="E36" s="113"/>
      <c r="F36" s="113"/>
      <c r="G36" s="113"/>
      <c r="H36" s="28">
        <f>(O21*1.5)/12*90.3*1.058</f>
        <v>2961.6594</v>
      </c>
      <c r="I36" s="22"/>
      <c r="J36" s="22"/>
      <c r="K36" s="29"/>
    </row>
    <row r="37" spans="1:11" ht="12.75">
      <c r="A37" s="113" t="s">
        <v>1015</v>
      </c>
      <c r="B37" s="113"/>
      <c r="C37" s="113"/>
      <c r="D37" s="113"/>
      <c r="E37" s="113"/>
      <c r="F37" s="113"/>
      <c r="G37" s="113"/>
      <c r="H37" s="28">
        <f>O21*1.5*33.1/12*1.058</f>
        <v>1085.6138000000003</v>
      </c>
      <c r="I37" s="22"/>
      <c r="J37" s="22"/>
      <c r="K37" s="29"/>
    </row>
    <row r="38" spans="1:11" ht="12.75">
      <c r="A38" s="113" t="s">
        <v>1016</v>
      </c>
      <c r="B38" s="113"/>
      <c r="C38" s="113"/>
      <c r="D38" s="113"/>
      <c r="E38" s="113"/>
      <c r="F38" s="113"/>
      <c r="G38" s="113"/>
      <c r="H38" s="28">
        <f>O32*2.48</f>
        <v>3124.8</v>
      </c>
      <c r="I38" s="22"/>
      <c r="J38" s="22"/>
      <c r="K38" s="29"/>
    </row>
    <row r="39" spans="1:11" ht="12.75">
      <c r="A39" s="113" t="s">
        <v>1017</v>
      </c>
      <c r="B39" s="113"/>
      <c r="C39" s="113"/>
      <c r="D39" s="113"/>
      <c r="E39" s="113"/>
      <c r="F39" s="113"/>
      <c r="G39" s="113"/>
      <c r="H39" s="28">
        <f>O20*0.028</f>
        <v>160.3</v>
      </c>
      <c r="I39" s="22"/>
      <c r="J39" s="22"/>
      <c r="K39" s="29"/>
    </row>
    <row r="40" spans="1:11" ht="12.75">
      <c r="A40" s="113" t="s">
        <v>1018</v>
      </c>
      <c r="B40" s="113"/>
      <c r="C40" s="113"/>
      <c r="D40" s="113"/>
      <c r="E40" s="113"/>
      <c r="F40" s="113"/>
      <c r="G40" s="113"/>
      <c r="H40" s="28">
        <f>O20*0.0027</f>
        <v>15.457500000000001</v>
      </c>
      <c r="I40" s="22"/>
      <c r="J40" s="22"/>
      <c r="K40" s="29"/>
    </row>
    <row r="41" spans="1:11" ht="12.75">
      <c r="A41" s="113" t="s">
        <v>103</v>
      </c>
      <c r="B41" s="113"/>
      <c r="C41" s="113"/>
      <c r="D41" s="113"/>
      <c r="E41" s="113"/>
      <c r="F41" s="113"/>
      <c r="G41" s="113"/>
      <c r="H41" s="28">
        <f>O31*4.81/12</f>
        <v>19.24</v>
      </c>
      <c r="I41" s="22"/>
      <c r="J41" s="22"/>
      <c r="K41" s="29"/>
    </row>
    <row r="42" spans="1:11" ht="12.75">
      <c r="A42" s="113" t="s">
        <v>363</v>
      </c>
      <c r="B42" s="113"/>
      <c r="C42" s="113"/>
      <c r="D42" s="113"/>
      <c r="E42" s="113"/>
      <c r="F42" s="113"/>
      <c r="G42" s="113"/>
      <c r="H42" s="28">
        <f>119*80/12/3</f>
        <v>264.44444444444446</v>
      </c>
      <c r="I42" s="22"/>
      <c r="J42" s="22"/>
      <c r="K42" s="29"/>
    </row>
    <row r="43" spans="1:11" ht="12.75">
      <c r="A43" s="113" t="s">
        <v>1019</v>
      </c>
      <c r="B43" s="113"/>
      <c r="C43" s="113"/>
      <c r="D43" s="113"/>
      <c r="E43" s="113"/>
      <c r="F43" s="113"/>
      <c r="G43" s="113"/>
      <c r="H43" s="28">
        <f>O20*0.027</f>
        <v>154.575</v>
      </c>
      <c r="I43" s="22"/>
      <c r="J43" s="32"/>
      <c r="K43" s="29"/>
    </row>
    <row r="44" spans="1:11" ht="12.75">
      <c r="A44" s="113" t="s">
        <v>1020</v>
      </c>
      <c r="B44" s="113"/>
      <c r="C44" s="113"/>
      <c r="D44" s="113"/>
      <c r="E44" s="113"/>
      <c r="F44" s="113"/>
      <c r="G44" s="113"/>
      <c r="H44" s="28">
        <f>O20*0.022</f>
        <v>125.94999999999999</v>
      </c>
      <c r="I44" s="22"/>
      <c r="J44" s="22"/>
      <c r="K44" s="29"/>
    </row>
    <row r="45" spans="1:11" ht="12.75">
      <c r="A45" s="113" t="s">
        <v>1021</v>
      </c>
      <c r="B45" s="113"/>
      <c r="C45" s="113"/>
      <c r="D45" s="113"/>
      <c r="E45" s="113"/>
      <c r="F45" s="113"/>
      <c r="G45" s="113"/>
      <c r="H45" s="28">
        <f>O20*0.022</f>
        <v>125.94999999999999</v>
      </c>
      <c r="I45" s="22"/>
      <c r="J45" s="22"/>
      <c r="K45" s="29"/>
    </row>
    <row r="46" spans="1:11" ht="12.75">
      <c r="A46" s="113" t="s">
        <v>1022</v>
      </c>
      <c r="B46" s="113"/>
      <c r="C46" s="113"/>
      <c r="D46" s="113"/>
      <c r="E46" s="113"/>
      <c r="F46" s="113"/>
      <c r="G46" s="24"/>
      <c r="H46" s="28">
        <f>O20*0.053</f>
        <v>303.425</v>
      </c>
      <c r="I46" s="22"/>
      <c r="J46" s="22"/>
      <c r="K46" s="29"/>
    </row>
    <row r="47" spans="1:11" ht="12.75">
      <c r="A47" s="113" t="s">
        <v>1023</v>
      </c>
      <c r="B47" s="113"/>
      <c r="C47" s="113"/>
      <c r="D47" s="113"/>
      <c r="E47" s="113"/>
      <c r="F47" s="113"/>
      <c r="G47" s="24"/>
      <c r="H47" s="28">
        <f>O20*0.014</f>
        <v>80.15</v>
      </c>
      <c r="I47" s="22"/>
      <c r="J47" s="22"/>
      <c r="K47" s="29"/>
    </row>
    <row r="48" spans="1:11" ht="12.75">
      <c r="A48" s="24"/>
      <c r="B48" s="24"/>
      <c r="C48" s="24"/>
      <c r="D48" s="24"/>
      <c r="E48" s="24"/>
      <c r="F48" s="24"/>
      <c r="G48" s="24"/>
      <c r="H48" s="28"/>
      <c r="I48" s="22"/>
      <c r="J48" s="22"/>
      <c r="K48" s="29"/>
    </row>
    <row r="49" spans="1:13" ht="15.75">
      <c r="A49" s="20" t="s">
        <v>111</v>
      </c>
      <c r="B49" s="20"/>
      <c r="C49" s="20"/>
      <c r="D49" s="20"/>
      <c r="E49" s="20"/>
      <c r="F49" s="20"/>
      <c r="G49" s="20"/>
      <c r="H49" s="27"/>
      <c r="I49" s="20"/>
      <c r="J49" s="20"/>
      <c r="K49" s="21">
        <f>H52+H54+H55+H56+H57+H58+H59+H61+H60+H62+H64</f>
        <v>23594.76852667745</v>
      </c>
      <c r="M49" s="71" t="e">
        <f>K49/309084*#REF!</f>
        <v>#REF!</v>
      </c>
    </row>
    <row r="50" spans="1:11" ht="12.75">
      <c r="A50" s="22"/>
      <c r="B50" s="22" t="s">
        <v>64</v>
      </c>
      <c r="C50" s="22"/>
      <c r="D50" s="22"/>
      <c r="E50" s="22"/>
      <c r="F50" s="22"/>
      <c r="G50" s="22"/>
      <c r="H50" s="28"/>
      <c r="I50" s="22"/>
      <c r="J50" s="22"/>
      <c r="K50" s="29"/>
    </row>
    <row r="51" spans="1:11" ht="12.75">
      <c r="A51" s="33" t="s">
        <v>112</v>
      </c>
      <c r="B51" s="33"/>
      <c r="C51" s="33"/>
      <c r="D51" s="33"/>
      <c r="E51" s="33"/>
      <c r="F51" s="33"/>
      <c r="G51" s="33"/>
      <c r="H51" s="34"/>
      <c r="I51" s="33"/>
      <c r="J51" s="33"/>
      <c r="K51" s="35"/>
    </row>
    <row r="52" spans="1:11" ht="12.75">
      <c r="A52" s="111" t="s">
        <v>1024</v>
      </c>
      <c r="B52" s="111"/>
      <c r="C52" s="111"/>
      <c r="D52" s="111"/>
      <c r="E52" s="111"/>
      <c r="F52" s="111"/>
      <c r="G52" s="36"/>
      <c r="H52" s="37">
        <f>K293*24.48*165.1*1.5*1.07</f>
        <v>10238.623863115108</v>
      </c>
      <c r="I52" s="38"/>
      <c r="J52" s="38"/>
      <c r="K52" s="35"/>
    </row>
    <row r="53" spans="1:11" ht="12.75">
      <c r="A53" s="33" t="s">
        <v>114</v>
      </c>
      <c r="B53" s="33"/>
      <c r="C53" s="33"/>
      <c r="D53" s="33"/>
      <c r="E53" s="33"/>
      <c r="F53" s="33"/>
      <c r="G53" s="33"/>
      <c r="H53" s="34"/>
      <c r="I53" s="33"/>
      <c r="J53" s="33"/>
      <c r="K53" s="35"/>
    </row>
    <row r="54" spans="1:11" ht="12.75">
      <c r="A54" s="39">
        <f>H52</f>
        <v>10238.623863115108</v>
      </c>
      <c r="B54" s="36" t="s">
        <v>115</v>
      </c>
      <c r="C54" s="36"/>
      <c r="D54" s="36"/>
      <c r="E54" s="36"/>
      <c r="F54" s="36"/>
      <c r="G54" s="38"/>
      <c r="H54" s="37">
        <f>H52*14.2%</f>
        <v>1453.8845885623452</v>
      </c>
      <c r="I54" s="38"/>
      <c r="J54" s="38"/>
      <c r="K54" s="35"/>
    </row>
    <row r="55" spans="1:11" ht="12.75">
      <c r="A55" s="30" t="s">
        <v>86</v>
      </c>
      <c r="B55" s="30"/>
      <c r="C55" s="30"/>
      <c r="D55" s="30"/>
      <c r="E55" s="30"/>
      <c r="F55" s="40"/>
      <c r="G55" s="40"/>
      <c r="H55" s="37">
        <f>0.04*O20</f>
        <v>229</v>
      </c>
      <c r="I55" s="38"/>
      <c r="J55" s="38"/>
      <c r="K55" s="35"/>
    </row>
    <row r="56" spans="1:12" ht="12.75">
      <c r="A56" s="108" t="s">
        <v>116</v>
      </c>
      <c r="B56" s="108"/>
      <c r="C56" s="108"/>
      <c r="D56" s="108"/>
      <c r="E56" s="108"/>
      <c r="F56" s="108"/>
      <c r="G56" s="108"/>
      <c r="H56" s="37">
        <v>9100</v>
      </c>
      <c r="I56" s="38"/>
      <c r="J56" s="38"/>
      <c r="K56" s="35"/>
      <c r="L56" s="65">
        <f>0.97*O20</f>
        <v>5553.25</v>
      </c>
    </row>
    <row r="57" spans="1:11" ht="12.75">
      <c r="A57" s="108" t="s">
        <v>1025</v>
      </c>
      <c r="B57" s="108"/>
      <c r="C57" s="108"/>
      <c r="D57" s="108"/>
      <c r="E57" s="108"/>
      <c r="F57" s="30"/>
      <c r="G57" s="30"/>
      <c r="H57" s="37">
        <f>0.0037*O20</f>
        <v>21.1825</v>
      </c>
      <c r="I57" s="38"/>
      <c r="J57" s="38"/>
      <c r="K57" s="35"/>
    </row>
    <row r="58" spans="1:12" ht="12.75">
      <c r="A58" s="108" t="s">
        <v>1026</v>
      </c>
      <c r="B58" s="108"/>
      <c r="C58" s="108"/>
      <c r="D58" s="108"/>
      <c r="E58" s="108"/>
      <c r="F58" s="108"/>
      <c r="G58" s="108"/>
      <c r="H58" s="37">
        <f>O20*0.082</f>
        <v>469.45000000000005</v>
      </c>
      <c r="I58" s="38"/>
      <c r="J58" s="38"/>
      <c r="K58" s="35"/>
      <c r="L58" s="69"/>
    </row>
    <row r="59" spans="1:13" ht="12.75">
      <c r="A59" s="108" t="s">
        <v>1027</v>
      </c>
      <c r="B59" s="108"/>
      <c r="C59" s="108"/>
      <c r="D59" s="108"/>
      <c r="E59" s="108"/>
      <c r="F59" s="108"/>
      <c r="G59" s="108"/>
      <c r="H59" s="31">
        <f>O20*0.023*1.109</f>
        <v>146.027575</v>
      </c>
      <c r="I59" s="33"/>
      <c r="J59" s="33"/>
      <c r="K59" s="35"/>
      <c r="M59" s="65" t="e">
        <f>36646.37/309083*#REF!</f>
        <v>#REF!</v>
      </c>
    </row>
    <row r="60" spans="1:11" ht="12.75">
      <c r="A60" s="30" t="s">
        <v>471</v>
      </c>
      <c r="B60" s="30"/>
      <c r="C60" s="30"/>
      <c r="D60" s="30"/>
      <c r="E60" s="30"/>
      <c r="F60" s="30"/>
      <c r="G60" s="30"/>
      <c r="H60" s="31">
        <f>0.216*O20</f>
        <v>1236.6</v>
      </c>
      <c r="I60" s="33"/>
      <c r="J60" s="33"/>
      <c r="K60" s="35"/>
    </row>
    <row r="61" spans="1:11" ht="12.75">
      <c r="A61" s="41" t="s">
        <v>120</v>
      </c>
      <c r="B61" s="41"/>
      <c r="C61" s="41"/>
      <c r="D61" s="41"/>
      <c r="E61" s="40"/>
      <c r="F61" s="40"/>
      <c r="G61" s="40"/>
      <c r="H61" s="31">
        <v>500</v>
      </c>
      <c r="I61" s="40"/>
      <c r="J61" s="40"/>
      <c r="K61" s="35"/>
    </row>
    <row r="62" spans="1:11" ht="12.75">
      <c r="A62" s="108" t="s">
        <v>376</v>
      </c>
      <c r="B62" s="108"/>
      <c r="C62" s="108"/>
      <c r="D62" s="108"/>
      <c r="E62" s="108"/>
      <c r="F62" s="108"/>
      <c r="G62" s="120"/>
      <c r="H62" s="37">
        <v>100</v>
      </c>
      <c r="I62" s="38"/>
      <c r="J62" s="38"/>
      <c r="K62" s="35"/>
    </row>
    <row r="63" spans="1:11" ht="12.75" customHeight="1" hidden="1">
      <c r="A63" s="38"/>
      <c r="B63" s="38"/>
      <c r="C63" s="38"/>
      <c r="D63" s="40"/>
      <c r="E63" s="40"/>
      <c r="F63" s="40"/>
      <c r="G63" s="40"/>
      <c r="H63" s="121"/>
      <c r="I63" s="40"/>
      <c r="J63" s="40"/>
      <c r="K63" s="122"/>
    </row>
    <row r="64" spans="1:11" ht="12.75">
      <c r="A64" s="38" t="s">
        <v>377</v>
      </c>
      <c r="B64" s="38"/>
      <c r="C64" s="38"/>
      <c r="D64" s="40"/>
      <c r="E64" s="40"/>
      <c r="F64" s="40"/>
      <c r="G64" s="44"/>
      <c r="H64" s="31">
        <v>100</v>
      </c>
      <c r="I64" s="40"/>
      <c r="J64" s="40"/>
      <c r="K64" s="122"/>
    </row>
    <row r="65" spans="1:11" ht="12.75">
      <c r="A65" s="38"/>
      <c r="B65" s="38"/>
      <c r="C65" s="38"/>
      <c r="D65" s="40"/>
      <c r="E65" s="40"/>
      <c r="F65" s="40"/>
      <c r="G65" s="44"/>
      <c r="H65" s="31"/>
      <c r="I65" s="40"/>
      <c r="J65" s="40"/>
      <c r="K65" s="122"/>
    </row>
    <row r="66" spans="1:13" ht="15.75">
      <c r="A66" s="110" t="s">
        <v>121</v>
      </c>
      <c r="B66" s="110"/>
      <c r="C66" s="110"/>
      <c r="D66" s="110"/>
      <c r="E66" s="42"/>
      <c r="F66" s="42"/>
      <c r="G66" s="20"/>
      <c r="H66" s="27"/>
      <c r="I66" s="20"/>
      <c r="J66" s="20"/>
      <c r="K66" s="21">
        <f>H68+H69+H70+H71</f>
        <v>4138.6025</v>
      </c>
      <c r="M66" s="72" t="e">
        <f>51932.37/301083*#REF!</f>
        <v>#REF!</v>
      </c>
    </row>
    <row r="67" spans="1:11" ht="12.75">
      <c r="A67" s="111" t="s">
        <v>122</v>
      </c>
      <c r="B67" s="111"/>
      <c r="C67" s="111"/>
      <c r="D67" s="111"/>
      <c r="E67" s="111"/>
      <c r="F67" s="111"/>
      <c r="G67" s="36"/>
      <c r="H67" s="37"/>
      <c r="I67" s="36"/>
      <c r="J67" s="36"/>
      <c r="K67" s="35"/>
    </row>
    <row r="68" spans="1:11" ht="12.75">
      <c r="A68" s="36" t="s">
        <v>1028</v>
      </c>
      <c r="B68" s="36"/>
      <c r="C68" s="36"/>
      <c r="D68" s="36"/>
      <c r="E68" s="36"/>
      <c r="F68" s="36"/>
      <c r="G68" s="36"/>
      <c r="H68" s="37">
        <f>0.2227*O20</f>
        <v>1274.9575</v>
      </c>
      <c r="I68" s="36"/>
      <c r="J68" s="36"/>
      <c r="K68" s="35"/>
    </row>
    <row r="69" spans="1:11" ht="12.75">
      <c r="A69" s="30" t="s">
        <v>1029</v>
      </c>
      <c r="B69" s="43"/>
      <c r="C69" s="30"/>
      <c r="D69" s="30"/>
      <c r="E69" s="44"/>
      <c r="F69" s="38"/>
      <c r="G69" s="38"/>
      <c r="H69" s="37">
        <f>0.0257*O20</f>
        <v>147.1325</v>
      </c>
      <c r="I69" s="38"/>
      <c r="J69" s="38"/>
      <c r="K69" s="35"/>
    </row>
    <row r="70" spans="1:11" ht="12.75">
      <c r="A70" s="111" t="s">
        <v>1030</v>
      </c>
      <c r="B70" s="111"/>
      <c r="C70" s="111"/>
      <c r="D70" s="111"/>
      <c r="E70" s="111"/>
      <c r="F70" s="38"/>
      <c r="G70" s="38"/>
      <c r="H70" s="37">
        <f>0.0945*O20</f>
        <v>541.0125</v>
      </c>
      <c r="I70" s="38"/>
      <c r="J70" s="38"/>
      <c r="K70" s="35"/>
    </row>
    <row r="71" spans="1:11" ht="12.75">
      <c r="A71" s="36" t="s">
        <v>1031</v>
      </c>
      <c r="B71" s="36"/>
      <c r="C71" s="36"/>
      <c r="D71" s="36"/>
      <c r="E71" s="36"/>
      <c r="F71" s="38"/>
      <c r="G71" s="38"/>
      <c r="H71" s="37">
        <f>0.38*O20</f>
        <v>2175.5</v>
      </c>
      <c r="I71" s="38"/>
      <c r="J71" s="38"/>
      <c r="K71" s="45"/>
    </row>
    <row r="72" spans="1:11" ht="12.75">
      <c r="A72" s="30"/>
      <c r="B72" s="30"/>
      <c r="C72" s="30"/>
      <c r="D72" s="30"/>
      <c r="E72" s="38"/>
      <c r="F72" s="38"/>
      <c r="G72" s="38"/>
      <c r="H72" s="37"/>
      <c r="I72" s="38"/>
      <c r="J72" s="38"/>
      <c r="K72" s="35"/>
    </row>
    <row r="73" spans="1:13" ht="15.75">
      <c r="A73" s="26" t="s">
        <v>127</v>
      </c>
      <c r="B73" s="26"/>
      <c r="C73" s="26"/>
      <c r="D73" s="26"/>
      <c r="E73" s="26"/>
      <c r="F73" s="26"/>
      <c r="G73" s="26"/>
      <c r="H73" s="46"/>
      <c r="I73" s="20"/>
      <c r="J73" s="20"/>
      <c r="K73" s="21">
        <f>O20*0.94</f>
        <v>5381.5</v>
      </c>
      <c r="M73" s="71" t="e">
        <f>231179.9/309083*#REF!</f>
        <v>#REF!</v>
      </c>
    </row>
    <row r="74" spans="1:11" ht="15.75">
      <c r="A74" s="47"/>
      <c r="B74" s="47"/>
      <c r="C74" s="112" t="s">
        <v>64</v>
      </c>
      <c r="D74" s="112"/>
      <c r="E74" s="47"/>
      <c r="F74" s="47"/>
      <c r="G74" s="47"/>
      <c r="H74" s="48"/>
      <c r="I74" s="47"/>
      <c r="J74" s="47"/>
      <c r="K74" s="49"/>
    </row>
    <row r="75" spans="1:11" ht="12.75">
      <c r="A75" s="30" t="s">
        <v>128</v>
      </c>
      <c r="B75" s="30"/>
      <c r="C75" s="30"/>
      <c r="D75" s="30"/>
      <c r="E75" s="30"/>
      <c r="F75" s="30"/>
      <c r="G75" s="30"/>
      <c r="H75" s="37"/>
      <c r="I75" s="38"/>
      <c r="J75" s="38"/>
      <c r="K75" s="35"/>
    </row>
    <row r="76" spans="1:11" ht="12.75">
      <c r="A76" s="30" t="s">
        <v>129</v>
      </c>
      <c r="B76" s="43"/>
      <c r="C76" s="30"/>
      <c r="D76" s="30"/>
      <c r="E76" s="30"/>
      <c r="F76" s="44"/>
      <c r="G76" s="44"/>
      <c r="H76" s="37"/>
      <c r="I76" s="38"/>
      <c r="J76" s="38"/>
      <c r="K76" s="35"/>
    </row>
    <row r="77" spans="1:11" ht="12.75">
      <c r="A77" s="108" t="s">
        <v>130</v>
      </c>
      <c r="B77" s="108"/>
      <c r="C77" s="108"/>
      <c r="D77" s="108"/>
      <c r="E77" s="108"/>
      <c r="F77" s="108"/>
      <c r="G77" s="44"/>
      <c r="H77" s="37"/>
      <c r="I77" s="38"/>
      <c r="J77" s="38"/>
      <c r="K77" s="35"/>
    </row>
    <row r="78" spans="1:11" ht="12.75">
      <c r="A78" s="108" t="s">
        <v>131</v>
      </c>
      <c r="B78" s="108"/>
      <c r="C78" s="108"/>
      <c r="D78" s="108"/>
      <c r="E78" s="108"/>
      <c r="F78" s="108"/>
      <c r="G78" s="108"/>
      <c r="H78" s="37"/>
      <c r="I78" s="38"/>
      <c r="J78" s="38"/>
      <c r="K78" s="35"/>
    </row>
    <row r="79" spans="1:11" ht="12.75">
      <c r="A79" s="108" t="s">
        <v>132</v>
      </c>
      <c r="B79" s="108"/>
      <c r="C79" s="108"/>
      <c r="D79" s="108"/>
      <c r="E79" s="109"/>
      <c r="F79" s="109"/>
      <c r="G79" s="109"/>
      <c r="H79" s="37"/>
      <c r="I79" s="38"/>
      <c r="J79" s="38"/>
      <c r="K79" s="35"/>
    </row>
    <row r="80" spans="1:11" ht="12.75">
      <c r="A80" s="108" t="s">
        <v>133</v>
      </c>
      <c r="B80" s="108"/>
      <c r="C80" s="108"/>
      <c r="D80" s="108"/>
      <c r="E80" s="108"/>
      <c r="F80" s="44"/>
      <c r="G80" s="44"/>
      <c r="H80" s="37"/>
      <c r="I80" s="38"/>
      <c r="J80" s="38"/>
      <c r="K80" s="35"/>
    </row>
    <row r="81" spans="1:11" ht="12.75">
      <c r="A81" s="44" t="s">
        <v>134</v>
      </c>
      <c r="B81" s="44"/>
      <c r="C81" s="44"/>
      <c r="D81" s="44"/>
      <c r="E81" s="44"/>
      <c r="F81" s="44"/>
      <c r="G81" s="44"/>
      <c r="H81" s="37"/>
      <c r="I81" s="38"/>
      <c r="J81" s="38"/>
      <c r="K81" s="35"/>
    </row>
    <row r="82" spans="1:11" ht="12.75">
      <c r="A82" s="22"/>
      <c r="B82" s="22"/>
      <c r="C82" s="22"/>
      <c r="D82" s="22"/>
      <c r="E82" s="22"/>
      <c r="F82" s="22"/>
      <c r="G82" s="22"/>
      <c r="H82" s="28"/>
      <c r="I82" s="22"/>
      <c r="J82" s="22"/>
      <c r="K82" s="29"/>
    </row>
    <row r="83" spans="1:13" ht="15.75">
      <c r="A83" s="20" t="s">
        <v>135</v>
      </c>
      <c r="B83" s="20"/>
      <c r="C83" s="20"/>
      <c r="D83" s="20"/>
      <c r="E83" s="20"/>
      <c r="F83" s="51"/>
      <c r="G83" s="51"/>
      <c r="H83" s="52"/>
      <c r="I83" s="51"/>
      <c r="J83" s="51"/>
      <c r="K83" s="21">
        <f>0.0205*O20</f>
        <v>117.36250000000001</v>
      </c>
      <c r="L83" s="72" t="e">
        <f>K83/309084*#REF!</f>
        <v>#REF!</v>
      </c>
      <c r="M83" s="72" t="e">
        <f>L83/309084*#REF!</f>
        <v>#REF!</v>
      </c>
    </row>
    <row r="84" spans="1:13" ht="15.75">
      <c r="A84" s="53"/>
      <c r="B84" s="54"/>
      <c r="C84" s="54"/>
      <c r="D84" s="54"/>
      <c r="E84" s="54"/>
      <c r="F84" s="53"/>
      <c r="G84" s="53"/>
      <c r="H84" s="55"/>
      <c r="I84" s="53"/>
      <c r="J84" s="53"/>
      <c r="K84" s="56"/>
      <c r="L84" s="72"/>
      <c r="M84" s="72"/>
    </row>
    <row r="85" spans="1:11" ht="15.75">
      <c r="A85" s="57" t="s">
        <v>136</v>
      </c>
      <c r="B85" s="57"/>
      <c r="C85" s="57"/>
      <c r="D85" s="58"/>
      <c r="E85" s="58"/>
      <c r="F85" s="58"/>
      <c r="G85" s="58"/>
      <c r="H85" s="59"/>
      <c r="I85" s="58"/>
      <c r="J85" s="58"/>
      <c r="K85" s="60">
        <f>K15*6%</f>
        <v>3076.873929570755</v>
      </c>
    </row>
    <row r="86" spans="1:11" ht="15">
      <c r="A86" s="58"/>
      <c r="B86" s="61"/>
      <c r="C86" s="61"/>
      <c r="D86" s="61"/>
      <c r="E86" s="61"/>
      <c r="F86" s="61"/>
      <c r="G86" s="61"/>
      <c r="H86" s="62"/>
      <c r="I86" s="58"/>
      <c r="J86" s="58"/>
      <c r="K86" s="58"/>
    </row>
    <row r="87" spans="1:11" ht="15.75">
      <c r="A87" s="63" t="s">
        <v>137</v>
      </c>
      <c r="B87" s="63"/>
      <c r="C87" s="63"/>
      <c r="D87" s="63"/>
      <c r="E87" s="63"/>
      <c r="F87" s="63"/>
      <c r="G87" s="63"/>
      <c r="H87" s="63"/>
      <c r="I87" s="63"/>
      <c r="J87" s="63"/>
      <c r="K87" s="64">
        <f>K85+K15</f>
        <v>54358.10608908334</v>
      </c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 t="s">
        <v>138</v>
      </c>
      <c r="B89" s="63"/>
      <c r="C89" s="63"/>
      <c r="D89" s="63"/>
      <c r="E89" s="63"/>
      <c r="F89" s="63"/>
      <c r="G89" s="63"/>
      <c r="H89" s="63"/>
      <c r="I89" s="63"/>
      <c r="J89" s="63"/>
      <c r="K89" s="64">
        <f>K87/O20</f>
        <v>9.494865692416305</v>
      </c>
    </row>
    <row r="90" spans="1:11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1:11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4"/>
    </row>
    <row r="92" spans="1:11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1" ht="15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4"/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4"/>
    </row>
    <row r="96" spans="1:11" ht="15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105" spans="3:9" s="65" customFormat="1" ht="15.75">
      <c r="C105" s="106" t="s">
        <v>139</v>
      </c>
      <c r="D105" s="107"/>
      <c r="E105" s="107"/>
      <c r="F105" s="107"/>
      <c r="G105" s="107"/>
      <c r="H105" s="107"/>
      <c r="I105" s="107"/>
    </row>
    <row r="106" spans="3:9" s="65" customFormat="1" ht="15.75">
      <c r="C106" s="74" t="s">
        <v>140</v>
      </c>
      <c r="D106" s="74" t="s">
        <v>141</v>
      </c>
      <c r="E106" s="74"/>
      <c r="F106" s="74"/>
      <c r="G106" s="75"/>
      <c r="H106" s="75"/>
      <c r="I106" s="75"/>
    </row>
    <row r="107" s="65" customFormat="1" ht="12.75"/>
    <row r="108" spans="5:8" s="65" customFormat="1" ht="12.75">
      <c r="E108" s="65" t="s">
        <v>142</v>
      </c>
      <c r="H108" s="65" t="e">
        <f>#REF!</f>
        <v>#REF!</v>
      </c>
    </row>
    <row r="109" spans="5:8" s="65" customFormat="1" ht="12.75">
      <c r="E109" s="65" t="s">
        <v>143</v>
      </c>
      <c r="H109" s="65" t="e">
        <f>#REF!</f>
        <v>#REF!</v>
      </c>
    </row>
    <row r="110" spans="5:8" s="65" customFormat="1" ht="12.75">
      <c r="E110" s="65" t="s">
        <v>144</v>
      </c>
      <c r="H110" s="65" t="e">
        <f>#REF!</f>
        <v>#REF!</v>
      </c>
    </row>
    <row r="111" spans="5:8" s="65" customFormat="1" ht="12.75">
      <c r="E111" s="65" t="s">
        <v>145</v>
      </c>
      <c r="H111" s="65">
        <f>O21</f>
        <v>248</v>
      </c>
    </row>
    <row r="112" spans="5:8" s="65" customFormat="1" ht="12.75">
      <c r="E112" s="65" t="s">
        <v>146</v>
      </c>
      <c r="H112" s="65" t="e">
        <f>#REF!</f>
        <v>#REF!</v>
      </c>
    </row>
    <row r="113" s="65" customFormat="1" ht="12.75"/>
    <row r="114" spans="1:11" s="65" customFormat="1" ht="15.75">
      <c r="A114" s="105" t="s">
        <v>72</v>
      </c>
      <c r="B114" s="105"/>
      <c r="C114" s="105"/>
      <c r="D114" s="105"/>
      <c r="E114" s="105"/>
      <c r="F114" s="105"/>
      <c r="G114" s="105"/>
      <c r="H114" s="76" t="e">
        <f>H116+H118+H120+H122+H124+H126+H128</f>
        <v>#REF!</v>
      </c>
      <c r="I114" s="77" t="s">
        <v>70</v>
      </c>
      <c r="K114" s="78" t="e">
        <f>H114-20000</f>
        <v>#REF!</v>
      </c>
    </row>
    <row r="115" spans="1:7" s="65" customFormat="1" ht="12.75">
      <c r="A115" s="79"/>
      <c r="B115" s="79"/>
      <c r="C115" s="79"/>
      <c r="D115" s="79"/>
      <c r="E115" s="79"/>
      <c r="F115" s="79"/>
      <c r="G115" s="79"/>
    </row>
    <row r="116" spans="1:8" s="65" customFormat="1" ht="15.75">
      <c r="A116" s="80" t="s">
        <v>147</v>
      </c>
      <c r="B116" s="80"/>
      <c r="C116" s="80"/>
      <c r="D116" s="80"/>
      <c r="E116" s="80"/>
      <c r="F116" s="80"/>
      <c r="G116" s="80"/>
      <c r="H116" s="78">
        <f>K17</f>
        <v>9627.433488390685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78"/>
    </row>
    <row r="118" spans="1:8" s="65" customFormat="1" ht="15.75">
      <c r="A118" s="105" t="s">
        <v>95</v>
      </c>
      <c r="B118" s="105"/>
      <c r="C118" s="105"/>
      <c r="D118" s="105"/>
      <c r="E118" s="105"/>
      <c r="F118" s="80"/>
      <c r="G118" s="80"/>
      <c r="H118" s="78">
        <f>K34</f>
        <v>8421.565144444445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78"/>
    </row>
    <row r="120" spans="1:8" s="65" customFormat="1" ht="15.75">
      <c r="A120" s="105" t="s">
        <v>148</v>
      </c>
      <c r="B120" s="105"/>
      <c r="C120" s="105"/>
      <c r="D120" s="105"/>
      <c r="E120" s="105"/>
      <c r="F120" s="105"/>
      <c r="G120" s="105"/>
      <c r="H120" s="81" t="e">
        <f>#REF!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111</v>
      </c>
      <c r="B122" s="80"/>
      <c r="C122" s="80"/>
      <c r="D122" s="80"/>
      <c r="E122" s="80"/>
      <c r="F122" s="80"/>
      <c r="G122" s="80"/>
      <c r="H122" s="82" t="e">
        <f>M49</f>
        <v>#REF!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105" t="s">
        <v>149</v>
      </c>
      <c r="B124" s="105"/>
      <c r="C124" s="105"/>
      <c r="D124" s="105"/>
      <c r="E124" s="80"/>
      <c r="F124" s="80"/>
      <c r="G124" s="80"/>
      <c r="H124" s="81" t="e">
        <f>M66</f>
        <v>#REF!</v>
      </c>
    </row>
    <row r="125" spans="1:8" s="65" customFormat="1" ht="12.75">
      <c r="A125" s="79"/>
      <c r="B125" s="79"/>
      <c r="C125" s="79"/>
      <c r="D125" s="79"/>
      <c r="E125" s="79"/>
      <c r="F125" s="79"/>
      <c r="G125" s="79"/>
      <c r="H125" s="82"/>
    </row>
    <row r="126" spans="1:8" s="65" customFormat="1" ht="15.75">
      <c r="A126" s="83" t="s">
        <v>127</v>
      </c>
      <c r="B126" s="83"/>
      <c r="C126" s="83"/>
      <c r="D126" s="83"/>
      <c r="E126" s="83"/>
      <c r="F126" s="83"/>
      <c r="G126" s="83"/>
      <c r="H126" s="81" t="e">
        <f>M73</f>
        <v>#REF!</v>
      </c>
    </row>
    <row r="127" spans="1:8" s="65" customFormat="1" ht="12.75">
      <c r="A127" s="79"/>
      <c r="B127" s="79"/>
      <c r="C127" s="79"/>
      <c r="D127" s="79"/>
      <c r="E127" s="79"/>
      <c r="F127" s="79"/>
      <c r="G127" s="79"/>
      <c r="H127" s="82"/>
    </row>
    <row r="128" spans="1:8" s="65" customFormat="1" ht="15.75">
      <c r="A128" s="80" t="s">
        <v>150</v>
      </c>
      <c r="B128" s="80"/>
      <c r="C128" s="80"/>
      <c r="D128" s="80"/>
      <c r="E128" s="80"/>
      <c r="F128" s="84"/>
      <c r="G128" s="84"/>
      <c r="H128" s="81" t="e">
        <f>L83</f>
        <v>#REF!</v>
      </c>
    </row>
    <row r="129" s="65" customFormat="1" ht="12.75"/>
    <row r="130" s="65" customFormat="1" ht="12.75"/>
    <row r="131" s="65" customFormat="1" ht="12.75">
      <c r="H131" s="65" t="s">
        <v>151</v>
      </c>
    </row>
    <row r="132" s="65" customFormat="1" ht="12.75">
      <c r="H132" s="65" t="s">
        <v>146</v>
      </c>
    </row>
    <row r="133" s="65" customFormat="1" ht="12.75">
      <c r="H133" s="65" t="s">
        <v>152</v>
      </c>
    </row>
    <row r="134" s="65" customFormat="1" ht="12.75"/>
    <row r="135" s="65" customFormat="1" ht="12.75"/>
    <row r="136" s="65" customFormat="1" ht="12.75">
      <c r="F136" s="65" t="s">
        <v>153</v>
      </c>
    </row>
    <row r="137" s="65" customFormat="1" ht="12.75">
      <c r="D137" s="65" t="s">
        <v>154</v>
      </c>
    </row>
    <row r="138" s="65" customFormat="1" ht="12.75">
      <c r="D138" s="65" t="s">
        <v>155</v>
      </c>
    </row>
    <row r="139" spans="6:13" s="65" customFormat="1" ht="12.75">
      <c r="F139" s="65" t="s">
        <v>156</v>
      </c>
      <c r="M139" s="65" t="s">
        <v>157</v>
      </c>
    </row>
    <row r="140" s="65" customFormat="1" ht="12.75">
      <c r="M140" s="65" t="s">
        <v>158</v>
      </c>
    </row>
    <row r="141" spans="1:13" s="65" customFormat="1" ht="12.75">
      <c r="A141" s="65" t="s">
        <v>159</v>
      </c>
      <c r="B141" s="65" t="s">
        <v>160</v>
      </c>
      <c r="D141" s="65" t="s">
        <v>161</v>
      </c>
      <c r="F141" s="65" t="s">
        <v>162</v>
      </c>
      <c r="G141" s="65" t="s">
        <v>163</v>
      </c>
      <c r="H141" s="65" t="s">
        <v>164</v>
      </c>
      <c r="J141" s="65" t="s">
        <v>165</v>
      </c>
      <c r="M141" s="73" t="s">
        <v>166</v>
      </c>
    </row>
    <row r="142" spans="1:14" s="65" customFormat="1" ht="12.75">
      <c r="A142" s="65" t="s">
        <v>167</v>
      </c>
      <c r="B142" s="65" t="s">
        <v>168</v>
      </c>
      <c r="D142" s="65" t="s">
        <v>169</v>
      </c>
      <c r="F142" s="65" t="s">
        <v>170</v>
      </c>
      <c r="G142" s="65" t="s">
        <v>171</v>
      </c>
      <c r="H142" s="65" t="s">
        <v>172</v>
      </c>
      <c r="J142" s="65" t="s">
        <v>173</v>
      </c>
      <c r="M142" s="65" t="s">
        <v>174</v>
      </c>
      <c r="N142" s="65">
        <v>6090.8</v>
      </c>
    </row>
    <row r="143" spans="8:9" s="65" customFormat="1" ht="12.75">
      <c r="H143" s="65" t="s">
        <v>175</v>
      </c>
      <c r="I143" s="65" t="s">
        <v>176</v>
      </c>
    </row>
    <row r="144" spans="8:13" s="65" customFormat="1" ht="12.75">
      <c r="H144" s="65" t="s">
        <v>170</v>
      </c>
      <c r="I144" s="65" t="s">
        <v>177</v>
      </c>
      <c r="M144" s="65" t="s">
        <v>178</v>
      </c>
    </row>
    <row r="145" spans="9:13" s="65" customFormat="1" ht="12.75">
      <c r="I145" s="65" t="s">
        <v>179</v>
      </c>
      <c r="M145" s="65" t="s">
        <v>158</v>
      </c>
    </row>
    <row r="146" s="65" customFormat="1" ht="12.75">
      <c r="M146" s="73" t="s">
        <v>166</v>
      </c>
    </row>
    <row r="147" spans="1:14" s="65" customFormat="1" ht="12.75">
      <c r="A147" s="65" t="s">
        <v>180</v>
      </c>
      <c r="B147" s="65" t="s">
        <v>181</v>
      </c>
      <c r="D147" s="65" t="s">
        <v>182</v>
      </c>
      <c r="M147" s="65" t="s">
        <v>174</v>
      </c>
      <c r="N147" s="65">
        <v>1452.6</v>
      </c>
    </row>
    <row r="148" spans="2:4" s="65" customFormat="1" ht="12.75">
      <c r="B148" s="65" t="s">
        <v>183</v>
      </c>
      <c r="D148" s="65" t="s">
        <v>184</v>
      </c>
    </row>
    <row r="149" spans="2:13" s="65" customFormat="1" ht="12.75">
      <c r="B149" s="65" t="s">
        <v>185</v>
      </c>
      <c r="D149" s="65" t="s">
        <v>186</v>
      </c>
      <c r="M149" s="65" t="s">
        <v>187</v>
      </c>
    </row>
    <row r="150" spans="2:13" s="65" customFormat="1" ht="12.75">
      <c r="B150" s="65" t="s">
        <v>188</v>
      </c>
      <c r="D150" s="65" t="s">
        <v>189</v>
      </c>
      <c r="M150" s="65" t="s">
        <v>158</v>
      </c>
    </row>
    <row r="151" spans="2:13" s="65" customFormat="1" ht="12.75">
      <c r="B151" s="65" t="s">
        <v>190</v>
      </c>
      <c r="M151" s="73" t="s">
        <v>166</v>
      </c>
    </row>
    <row r="152" spans="4:14" s="65" customFormat="1" ht="12.75">
      <c r="D152" s="65" t="s">
        <v>191</v>
      </c>
      <c r="M152" s="65" t="s">
        <v>174</v>
      </c>
      <c r="N152" s="65">
        <v>1162.1</v>
      </c>
    </row>
    <row r="153" spans="4:6" s="65" customFormat="1" ht="12.75">
      <c r="D153" s="65" t="s">
        <v>192</v>
      </c>
      <c r="F153" s="65" t="s">
        <v>193</v>
      </c>
    </row>
    <row r="154" spans="4:13" s="65" customFormat="1" ht="12.75">
      <c r="D154" s="65" t="s">
        <v>158</v>
      </c>
      <c r="F154" s="65" t="s">
        <v>194</v>
      </c>
      <c r="H154" s="65">
        <v>0.0687</v>
      </c>
      <c r="I154" s="65">
        <v>0</v>
      </c>
      <c r="K154" s="65">
        <f>N145/1000*H154</f>
        <v>0</v>
      </c>
      <c r="M154" s="65" t="s">
        <v>195</v>
      </c>
    </row>
    <row r="155" spans="4:13" s="65" customFormat="1" ht="12.75">
      <c r="D155" s="65" t="s">
        <v>196</v>
      </c>
      <c r="F155" s="65" t="s">
        <v>197</v>
      </c>
      <c r="H155" s="65">
        <v>0.0763</v>
      </c>
      <c r="I155" s="65">
        <v>0</v>
      </c>
      <c r="K155" s="65">
        <f>N146/1000*H155</f>
        <v>0</v>
      </c>
      <c r="M155" s="65" t="s">
        <v>158</v>
      </c>
    </row>
    <row r="156" spans="4:13" s="65" customFormat="1" ht="12.75">
      <c r="D156" s="65" t="s">
        <v>198</v>
      </c>
      <c r="F156" s="65" t="s">
        <v>199</v>
      </c>
      <c r="H156" s="65">
        <v>0.0839</v>
      </c>
      <c r="I156" s="65">
        <v>0</v>
      </c>
      <c r="K156" s="69">
        <f>N147/1000*H156</f>
        <v>0.12187313999999999</v>
      </c>
      <c r="M156" s="73" t="s">
        <v>166</v>
      </c>
    </row>
    <row r="157" spans="6:13" s="65" customFormat="1" ht="12.75">
      <c r="F157" s="65" t="s">
        <v>200</v>
      </c>
      <c r="M157" s="65" t="s">
        <v>174</v>
      </c>
    </row>
    <row r="158" s="65" customFormat="1" ht="12.75">
      <c r="F158" s="65" t="s">
        <v>190</v>
      </c>
    </row>
    <row r="159" spans="5:9" s="65" customFormat="1" ht="12.75">
      <c r="E159" s="65" t="s">
        <v>201</v>
      </c>
      <c r="I159" s="65">
        <v>0</v>
      </c>
    </row>
    <row r="160" spans="2:4" s="65" customFormat="1" ht="12.75">
      <c r="B160" s="65" t="s">
        <v>202</v>
      </c>
      <c r="D160" s="65" t="s">
        <v>203</v>
      </c>
    </row>
    <row r="161" s="65" customFormat="1" ht="12.75">
      <c r="D161" s="65" t="s">
        <v>204</v>
      </c>
    </row>
    <row r="162" s="65" customFormat="1" ht="12.75">
      <c r="D162" s="65" t="s">
        <v>205</v>
      </c>
    </row>
    <row r="163" s="65" customFormat="1" ht="12.75">
      <c r="D163" s="65" t="s">
        <v>191</v>
      </c>
    </row>
    <row r="164" spans="4:11" s="65" customFormat="1" ht="12.75">
      <c r="D164" s="65" t="s">
        <v>158</v>
      </c>
      <c r="H164" s="65">
        <v>0.00338</v>
      </c>
      <c r="K164" s="69">
        <f>N168/1000*H164</f>
        <v>0</v>
      </c>
    </row>
    <row r="165" spans="4:11" s="65" customFormat="1" ht="12.75">
      <c r="D165" s="65" t="s">
        <v>196</v>
      </c>
      <c r="H165" s="65">
        <v>0.00376</v>
      </c>
      <c r="K165" s="69">
        <f>N169/1000*H165</f>
        <v>0</v>
      </c>
    </row>
    <row r="166" spans="4:11" s="65" customFormat="1" ht="12.75">
      <c r="D166" s="65" t="s">
        <v>198</v>
      </c>
      <c r="H166" s="65">
        <v>0.00414</v>
      </c>
      <c r="K166" s="69">
        <f>N170/1000*H166</f>
        <v>0.025215911999999997</v>
      </c>
    </row>
    <row r="167" s="65" customFormat="1" ht="12.75">
      <c r="M167" s="65" t="s">
        <v>206</v>
      </c>
    </row>
    <row r="168" spans="1:13" s="65" customFormat="1" ht="12.75">
      <c r="A168" s="65" t="s">
        <v>207</v>
      </c>
      <c r="B168" s="65" t="s">
        <v>208</v>
      </c>
      <c r="D168" s="65" t="s">
        <v>203</v>
      </c>
      <c r="M168" s="65" t="s">
        <v>158</v>
      </c>
    </row>
    <row r="169" spans="4:13" s="65" customFormat="1" ht="12.75">
      <c r="D169" s="65" t="s">
        <v>209</v>
      </c>
      <c r="M169" s="73" t="s">
        <v>166</v>
      </c>
    </row>
    <row r="170" spans="4:14" s="65" customFormat="1" ht="12.75">
      <c r="D170" s="65" t="s">
        <v>191</v>
      </c>
      <c r="M170" s="65" t="s">
        <v>174</v>
      </c>
      <c r="N170" s="65">
        <f>N142</f>
        <v>6090.8</v>
      </c>
    </row>
    <row r="171" spans="4:11" s="65" customFormat="1" ht="12.75">
      <c r="D171" s="65" t="s">
        <v>158</v>
      </c>
      <c r="H171" s="65">
        <v>0.02043</v>
      </c>
      <c r="I171" s="65">
        <v>0</v>
      </c>
      <c r="K171" s="65">
        <f>N155/1000*H171</f>
        <v>0</v>
      </c>
    </row>
    <row r="172" spans="4:13" s="65" customFormat="1" ht="12.75">
      <c r="D172" s="65" t="s">
        <v>196</v>
      </c>
      <c r="H172" s="65">
        <v>0.0227</v>
      </c>
      <c r="I172" s="65">
        <v>0</v>
      </c>
      <c r="K172" s="65">
        <f>N156/1000*H172</f>
        <v>0</v>
      </c>
      <c r="M172" s="65" t="s">
        <v>210</v>
      </c>
    </row>
    <row r="173" spans="4:13" s="65" customFormat="1" ht="12.75">
      <c r="D173" s="65" t="s">
        <v>198</v>
      </c>
      <c r="H173" s="65">
        <v>0.02497</v>
      </c>
      <c r="I173" s="65">
        <v>0</v>
      </c>
      <c r="K173" s="65">
        <f>N157/1000*H173</f>
        <v>0</v>
      </c>
      <c r="M173" s="65" t="s">
        <v>158</v>
      </c>
    </row>
    <row r="174" spans="4:13" s="65" customFormat="1" ht="12.75">
      <c r="D174" s="65" t="s">
        <v>211</v>
      </c>
      <c r="M174" s="73" t="s">
        <v>166</v>
      </c>
    </row>
    <row r="175" spans="4:14" s="65" customFormat="1" ht="12.75">
      <c r="D175" s="65" t="s">
        <v>191</v>
      </c>
      <c r="M175" s="65" t="s">
        <v>174</v>
      </c>
      <c r="N175" s="65">
        <v>119</v>
      </c>
    </row>
    <row r="176" spans="4:6" s="65" customFormat="1" ht="12.75">
      <c r="D176" s="65" t="s">
        <v>192</v>
      </c>
      <c r="F176" s="65" t="s">
        <v>193</v>
      </c>
    </row>
    <row r="177" spans="4:11" s="65" customFormat="1" ht="12.75">
      <c r="D177" s="65" t="s">
        <v>158</v>
      </c>
      <c r="H177" s="65">
        <v>0.00999</v>
      </c>
      <c r="K177" s="69">
        <f>N140/1000*H177</f>
        <v>0</v>
      </c>
    </row>
    <row r="178" spans="4:11" s="65" customFormat="1" ht="12.75">
      <c r="D178" s="65" t="s">
        <v>196</v>
      </c>
      <c r="H178" s="65">
        <v>0.0111</v>
      </c>
      <c r="K178" s="69">
        <f>N141/1000*H178</f>
        <v>0</v>
      </c>
    </row>
    <row r="179" spans="4:11" s="65" customFormat="1" ht="12.75">
      <c r="D179" s="65" t="s">
        <v>198</v>
      </c>
      <c r="H179" s="65">
        <v>0.01221</v>
      </c>
      <c r="I179" s="65">
        <v>0</v>
      </c>
      <c r="K179" s="69">
        <f>N142/1000*H179</f>
        <v>0.074368668</v>
      </c>
    </row>
    <row r="180" s="65" customFormat="1" ht="12.75">
      <c r="I180" s="65">
        <v>0</v>
      </c>
    </row>
    <row r="181" spans="5:9" s="65" customFormat="1" ht="12.75">
      <c r="E181" s="65" t="s">
        <v>201</v>
      </c>
      <c r="G181" s="65">
        <v>0</v>
      </c>
      <c r="I181" s="65">
        <v>0</v>
      </c>
    </row>
    <row r="182" spans="1:6" s="65" customFormat="1" ht="12.75">
      <c r="A182" s="65" t="s">
        <v>212</v>
      </c>
      <c r="B182" s="65" t="s">
        <v>213</v>
      </c>
      <c r="D182" s="65" t="s">
        <v>203</v>
      </c>
      <c r="F182" s="65" t="s">
        <v>193</v>
      </c>
    </row>
    <row r="183" spans="2:6" s="65" customFormat="1" ht="12.75">
      <c r="B183" s="65" t="s">
        <v>214</v>
      </c>
      <c r="D183" s="65" t="s">
        <v>209</v>
      </c>
      <c r="F183" s="65" t="s">
        <v>215</v>
      </c>
    </row>
    <row r="184" spans="4:6" s="65" customFormat="1" ht="12.75">
      <c r="D184" s="65" t="s">
        <v>191</v>
      </c>
      <c r="F184" s="65" t="s">
        <v>216</v>
      </c>
    </row>
    <row r="185" spans="4:11" s="65" customFormat="1" ht="12.75">
      <c r="D185" s="65" t="s">
        <v>158</v>
      </c>
      <c r="H185" s="65">
        <v>0.018432</v>
      </c>
      <c r="I185" s="65">
        <v>0</v>
      </c>
      <c r="K185" s="65">
        <f>N155/1000*H185</f>
        <v>0</v>
      </c>
    </row>
    <row r="186" spans="4:11" s="65" customFormat="1" ht="12.75">
      <c r="D186" s="65" t="s">
        <v>196</v>
      </c>
      <c r="H186" s="65">
        <v>0.02048</v>
      </c>
      <c r="I186" s="65">
        <v>0</v>
      </c>
      <c r="K186" s="65">
        <f>N156/1000*H186</f>
        <v>0</v>
      </c>
    </row>
    <row r="187" spans="4:11" s="65" customFormat="1" ht="12.75">
      <c r="D187" s="65" t="s">
        <v>198</v>
      </c>
      <c r="K187" s="65">
        <f>N157/1000*H187</f>
        <v>0</v>
      </c>
    </row>
    <row r="188" s="65" customFormat="1" ht="12.75">
      <c r="D188" s="65" t="s">
        <v>211</v>
      </c>
    </row>
    <row r="189" s="65" customFormat="1" ht="12.75">
      <c r="D189" s="65" t="s">
        <v>191</v>
      </c>
    </row>
    <row r="190" s="65" customFormat="1" ht="12.75">
      <c r="D190" s="65" t="s">
        <v>192</v>
      </c>
    </row>
    <row r="191" spans="4:11" s="65" customFormat="1" ht="12.75">
      <c r="D191" s="65" t="s">
        <v>158</v>
      </c>
      <c r="K191" s="69">
        <f>N140/1000*H191</f>
        <v>0</v>
      </c>
    </row>
    <row r="192" spans="4:11" s="65" customFormat="1" ht="12.75">
      <c r="D192" s="65" t="s">
        <v>196</v>
      </c>
      <c r="H192" s="65">
        <v>0.02295</v>
      </c>
      <c r="I192" s="65">
        <v>0</v>
      </c>
      <c r="K192" s="69">
        <f>N141/1000*H192</f>
        <v>0</v>
      </c>
    </row>
    <row r="193" spans="4:11" s="65" customFormat="1" ht="12.75">
      <c r="D193" s="65" t="s">
        <v>198</v>
      </c>
      <c r="H193" s="65">
        <v>0.025245</v>
      </c>
      <c r="I193" s="65">
        <v>0</v>
      </c>
      <c r="K193" s="69">
        <f>N142/1000*H193</f>
        <v>0.153762246</v>
      </c>
    </row>
    <row r="194" spans="5:11" s="65" customFormat="1" ht="12.75">
      <c r="E194" s="65" t="s">
        <v>201</v>
      </c>
      <c r="G194" s="65">
        <v>0</v>
      </c>
      <c r="I194" s="65">
        <v>0</v>
      </c>
      <c r="K194" s="69"/>
    </row>
    <row r="195" s="65" customFormat="1" ht="12.75">
      <c r="K195" s="69"/>
    </row>
    <row r="196" spans="1:11" s="65" customFormat="1" ht="12.75">
      <c r="A196" s="65" t="s">
        <v>217</v>
      </c>
      <c r="B196" s="65" t="s">
        <v>218</v>
      </c>
      <c r="D196" s="65" t="s">
        <v>203</v>
      </c>
      <c r="K196" s="69"/>
    </row>
    <row r="197" spans="4:11" s="65" customFormat="1" ht="12.75">
      <c r="D197" s="65" t="s">
        <v>209</v>
      </c>
      <c r="K197" s="69"/>
    </row>
    <row r="198" spans="4:11" s="65" customFormat="1" ht="12.75">
      <c r="D198" s="65" t="s">
        <v>191</v>
      </c>
      <c r="K198" s="69"/>
    </row>
    <row r="199" spans="4:11" s="65" customFormat="1" ht="12.75">
      <c r="D199" s="65" t="s">
        <v>158</v>
      </c>
      <c r="H199" s="65">
        <v>0.027585</v>
      </c>
      <c r="I199" s="65">
        <v>0</v>
      </c>
      <c r="K199" s="69">
        <f>N155/1000*H199</f>
        <v>0</v>
      </c>
    </row>
    <row r="200" spans="4:11" s="65" customFormat="1" ht="12.75">
      <c r="D200" s="65" t="s">
        <v>196</v>
      </c>
      <c r="H200" s="65">
        <v>0.3065</v>
      </c>
      <c r="I200" s="65">
        <v>0</v>
      </c>
      <c r="K200" s="69">
        <f>N156/1000*H200</f>
        <v>0</v>
      </c>
    </row>
    <row r="201" spans="4:11" s="65" customFormat="1" ht="12.75">
      <c r="D201" s="65" t="s">
        <v>198</v>
      </c>
      <c r="K201" s="69">
        <f>N157/1000*H201</f>
        <v>0</v>
      </c>
    </row>
    <row r="202" spans="4:11" s="65" customFormat="1" ht="12.75">
      <c r="D202" s="65" t="s">
        <v>211</v>
      </c>
      <c r="K202" s="69"/>
    </row>
    <row r="203" spans="4:11" s="65" customFormat="1" ht="12.75">
      <c r="D203" s="65" t="s">
        <v>191</v>
      </c>
      <c r="K203" s="69"/>
    </row>
    <row r="204" spans="4:11" s="65" customFormat="1" ht="12.75">
      <c r="D204" s="65" t="s">
        <v>192</v>
      </c>
      <c r="K204" s="69"/>
    </row>
    <row r="205" spans="4:11" s="65" customFormat="1" ht="12.75">
      <c r="D205" s="65" t="s">
        <v>158</v>
      </c>
      <c r="K205" s="69">
        <f>N140/1000*H205</f>
        <v>0</v>
      </c>
    </row>
    <row r="206" spans="4:11" s="65" customFormat="1" ht="12.75">
      <c r="D206" s="65" t="s">
        <v>196</v>
      </c>
      <c r="H206" s="65">
        <v>0.00539</v>
      </c>
      <c r="I206" s="65">
        <v>0</v>
      </c>
      <c r="K206" s="69">
        <f>N141/1000*H206</f>
        <v>0</v>
      </c>
    </row>
    <row r="207" spans="4:11" s="65" customFormat="1" ht="12.75">
      <c r="D207" s="65" t="s">
        <v>198</v>
      </c>
      <c r="H207" s="65">
        <v>0.005929</v>
      </c>
      <c r="I207" s="65">
        <v>0</v>
      </c>
      <c r="K207" s="69">
        <f>N142/1000*H207</f>
        <v>0.0361123532</v>
      </c>
    </row>
    <row r="208" spans="5:11" s="65" customFormat="1" ht="12.75">
      <c r="E208" s="65" t="s">
        <v>201</v>
      </c>
      <c r="G208" s="65">
        <v>0</v>
      </c>
      <c r="I208" s="65">
        <v>0</v>
      </c>
      <c r="K208" s="69"/>
    </row>
    <row r="209" s="65" customFormat="1" ht="12.75">
      <c r="K209" s="69"/>
    </row>
    <row r="210" spans="1:11" s="65" customFormat="1" ht="12.75">
      <c r="A210" s="65" t="s">
        <v>219</v>
      </c>
      <c r="B210" s="65" t="s">
        <v>220</v>
      </c>
      <c r="D210" s="65" t="s">
        <v>203</v>
      </c>
      <c r="K210" s="69"/>
    </row>
    <row r="211" spans="2:11" s="65" customFormat="1" ht="12.75">
      <c r="B211" s="65" t="s">
        <v>214</v>
      </c>
      <c r="D211" s="65" t="s">
        <v>209</v>
      </c>
      <c r="K211" s="69"/>
    </row>
    <row r="212" spans="4:11" s="65" customFormat="1" ht="12.75">
      <c r="D212" s="65" t="s">
        <v>191</v>
      </c>
      <c r="K212" s="69"/>
    </row>
    <row r="213" spans="4:11" s="65" customFormat="1" ht="12.75">
      <c r="D213" s="65" t="s">
        <v>158</v>
      </c>
      <c r="H213" s="65">
        <v>0.022437</v>
      </c>
      <c r="I213" s="65">
        <v>0</v>
      </c>
      <c r="K213" s="69">
        <f>N155/1000*H213</f>
        <v>0</v>
      </c>
    </row>
    <row r="214" spans="4:11" s="65" customFormat="1" ht="12.75">
      <c r="D214" s="65" t="s">
        <v>196</v>
      </c>
      <c r="H214" s="65">
        <v>0.02493</v>
      </c>
      <c r="I214" s="65">
        <v>0</v>
      </c>
      <c r="K214" s="69">
        <f>N156/1000*H214</f>
        <v>0</v>
      </c>
    </row>
    <row r="215" spans="4:11" s="65" customFormat="1" ht="12.75">
      <c r="D215" s="65" t="s">
        <v>198</v>
      </c>
      <c r="K215" s="65">
        <f>N157/1000*H215</f>
        <v>0</v>
      </c>
    </row>
    <row r="216" s="65" customFormat="1" ht="12.75">
      <c r="D216" s="65" t="s">
        <v>211</v>
      </c>
    </row>
    <row r="217" s="65" customFormat="1" ht="12.75">
      <c r="D217" s="65" t="s">
        <v>191</v>
      </c>
    </row>
    <row r="218" s="65" customFormat="1" ht="12.75">
      <c r="D218" s="65" t="s">
        <v>192</v>
      </c>
    </row>
    <row r="219" spans="4:11" s="65" customFormat="1" ht="12.75">
      <c r="D219" s="65" t="s">
        <v>158</v>
      </c>
      <c r="K219" s="69">
        <f>N140/1000*H219</f>
        <v>0</v>
      </c>
    </row>
    <row r="220" spans="4:11" s="65" customFormat="1" ht="12.75">
      <c r="D220" s="65" t="s">
        <v>196</v>
      </c>
      <c r="H220" s="65">
        <v>0.00888</v>
      </c>
      <c r="I220" s="65">
        <v>0</v>
      </c>
      <c r="K220" s="69">
        <f>N141/1000*H220</f>
        <v>0</v>
      </c>
    </row>
    <row r="221" spans="4:11" s="65" customFormat="1" ht="12.75">
      <c r="D221" s="65" t="s">
        <v>198</v>
      </c>
      <c r="H221" s="65">
        <v>0.009768</v>
      </c>
      <c r="I221" s="65">
        <v>0</v>
      </c>
      <c r="K221" s="69">
        <f>N142/1000*H221</f>
        <v>0.059494934400000005</v>
      </c>
    </row>
    <row r="222" spans="5:11" s="65" customFormat="1" ht="12.75">
      <c r="E222" s="65" t="s">
        <v>201</v>
      </c>
      <c r="G222" s="65">
        <v>0</v>
      </c>
      <c r="I222" s="65">
        <v>0</v>
      </c>
      <c r="K222" s="69"/>
    </row>
    <row r="223" s="65" customFormat="1" ht="12.75">
      <c r="K223" s="69"/>
    </row>
    <row r="224" spans="2:4" s="65" customFormat="1" ht="12.75">
      <c r="B224" s="65" t="s">
        <v>221</v>
      </c>
      <c r="D224" s="65" t="s">
        <v>203</v>
      </c>
    </row>
    <row r="225" s="65" customFormat="1" ht="12.75">
      <c r="D225" s="65" t="s">
        <v>204</v>
      </c>
    </row>
    <row r="226" s="65" customFormat="1" ht="12.75">
      <c r="D226" s="65" t="s">
        <v>205</v>
      </c>
    </row>
    <row r="227" s="65" customFormat="1" ht="12.75">
      <c r="D227" s="65" t="s">
        <v>191</v>
      </c>
    </row>
    <row r="228" spans="4:11" s="65" customFormat="1" ht="12.75">
      <c r="D228" s="65" t="s">
        <v>158</v>
      </c>
      <c r="H228" s="65">
        <v>0.0243</v>
      </c>
      <c r="K228" s="69">
        <f>N168/1000*H228</f>
        <v>0</v>
      </c>
    </row>
    <row r="229" spans="4:11" s="65" customFormat="1" ht="12.75">
      <c r="D229" s="65" t="s">
        <v>196</v>
      </c>
      <c r="H229" s="65">
        <v>0.027</v>
      </c>
      <c r="K229" s="69">
        <f>N169/1000*H229</f>
        <v>0</v>
      </c>
    </row>
    <row r="230" spans="4:11" s="65" customFormat="1" ht="12.75">
      <c r="D230" s="65" t="s">
        <v>198</v>
      </c>
      <c r="H230" s="65">
        <v>0.0297</v>
      </c>
      <c r="K230" s="69">
        <f>N170/1000*H230</f>
        <v>0.18089676</v>
      </c>
    </row>
    <row r="231" spans="1:11" s="65" customFormat="1" ht="12.75">
      <c r="A231" s="65" t="s">
        <v>222</v>
      </c>
      <c r="B231" s="65" t="s">
        <v>223</v>
      </c>
      <c r="D231" s="65" t="s">
        <v>203</v>
      </c>
      <c r="K231" s="69"/>
    </row>
    <row r="232" spans="4:11" s="65" customFormat="1" ht="12.75">
      <c r="D232" s="65" t="s">
        <v>209</v>
      </c>
      <c r="K232" s="69"/>
    </row>
    <row r="233" spans="4:11" s="65" customFormat="1" ht="12.75">
      <c r="D233" s="65" t="s">
        <v>191</v>
      </c>
      <c r="K233" s="69"/>
    </row>
    <row r="234" spans="4:11" s="65" customFormat="1" ht="12.75">
      <c r="D234" s="65" t="s">
        <v>158</v>
      </c>
      <c r="H234" s="65">
        <v>0.01773</v>
      </c>
      <c r="I234" s="65">
        <v>0</v>
      </c>
      <c r="K234" s="69">
        <f>N155/1000*H234</f>
        <v>0</v>
      </c>
    </row>
    <row r="235" spans="4:11" s="65" customFormat="1" ht="12.75">
      <c r="D235" s="65" t="s">
        <v>196</v>
      </c>
      <c r="H235" s="65">
        <v>0.0197</v>
      </c>
      <c r="I235" s="65">
        <v>0</v>
      </c>
      <c r="K235" s="69">
        <f>N156/1000*H235</f>
        <v>0</v>
      </c>
    </row>
    <row r="236" spans="4:11" s="65" customFormat="1" ht="12.75">
      <c r="D236" s="65" t="s">
        <v>198</v>
      </c>
      <c r="K236" s="69">
        <f>N157/1000*H236</f>
        <v>0</v>
      </c>
    </row>
    <row r="237" spans="4:11" s="65" customFormat="1" ht="12.75">
      <c r="D237" s="65" t="s">
        <v>211</v>
      </c>
      <c r="K237" s="69"/>
    </row>
    <row r="238" spans="4:11" s="65" customFormat="1" ht="12.75">
      <c r="D238" s="65" t="s">
        <v>191</v>
      </c>
      <c r="K238" s="69"/>
    </row>
    <row r="239" spans="4:11" s="65" customFormat="1" ht="12.75">
      <c r="D239" s="65" t="s">
        <v>192</v>
      </c>
      <c r="K239" s="69"/>
    </row>
    <row r="240" spans="4:11" s="65" customFormat="1" ht="12.75">
      <c r="D240" s="65" t="s">
        <v>158</v>
      </c>
      <c r="K240" s="69">
        <f>N140/1000*H240</f>
        <v>0</v>
      </c>
    </row>
    <row r="241" spans="4:11" s="65" customFormat="1" ht="12.75">
      <c r="D241" s="65" t="s">
        <v>196</v>
      </c>
      <c r="H241" s="65">
        <v>0.0018</v>
      </c>
      <c r="I241" s="65">
        <v>0</v>
      </c>
      <c r="K241" s="69">
        <f>N141/1000*H241</f>
        <v>0</v>
      </c>
    </row>
    <row r="242" spans="4:11" s="65" customFormat="1" ht="12.75">
      <c r="D242" s="65" t="s">
        <v>198</v>
      </c>
      <c r="H242" s="65">
        <v>0.00198</v>
      </c>
      <c r="I242" s="65">
        <v>0</v>
      </c>
      <c r="K242" s="69">
        <f>N142/1000*H242</f>
        <v>0.012059783999999999</v>
      </c>
    </row>
    <row r="243" spans="5:11" s="65" customFormat="1" ht="12.75">
      <c r="E243" s="65" t="s">
        <v>201</v>
      </c>
      <c r="G243" s="65">
        <v>0</v>
      </c>
      <c r="I243" s="65">
        <v>0</v>
      </c>
      <c r="K243" s="69"/>
    </row>
    <row r="244" s="65" customFormat="1" ht="12.75">
      <c r="K244" s="69"/>
    </row>
    <row r="245" spans="2:7" s="65" customFormat="1" ht="12.75">
      <c r="B245" s="65" t="s">
        <v>224</v>
      </c>
      <c r="D245" s="65" t="s">
        <v>203</v>
      </c>
      <c r="G245" s="65" t="s">
        <v>225</v>
      </c>
    </row>
    <row r="246" spans="4:7" s="65" customFormat="1" ht="12.75">
      <c r="D246" s="65" t="s">
        <v>204</v>
      </c>
      <c r="G246" s="65" t="s">
        <v>226</v>
      </c>
    </row>
    <row r="247" spans="4:7" s="65" customFormat="1" ht="12.75">
      <c r="D247" s="65" t="s">
        <v>205</v>
      </c>
      <c r="G247" s="65" t="s">
        <v>227</v>
      </c>
    </row>
    <row r="248" s="65" customFormat="1" ht="12.75">
      <c r="D248" s="65" t="s">
        <v>191</v>
      </c>
    </row>
    <row r="249" spans="4:11" s="65" customFormat="1" ht="12.75">
      <c r="D249" s="65" t="s">
        <v>158</v>
      </c>
      <c r="H249" s="65">
        <v>0.02367</v>
      </c>
      <c r="K249" s="69">
        <f>N150/1000*H249</f>
        <v>0</v>
      </c>
    </row>
    <row r="250" spans="4:11" s="65" customFormat="1" ht="12.75">
      <c r="D250" s="65" t="s">
        <v>196</v>
      </c>
      <c r="H250" s="65">
        <v>0.0263</v>
      </c>
      <c r="K250" s="69">
        <f>N151/1000*H250</f>
        <v>0</v>
      </c>
    </row>
    <row r="251" spans="4:11" s="65" customFormat="1" ht="12.75">
      <c r="D251" s="65" t="s">
        <v>198</v>
      </c>
      <c r="H251" s="65">
        <v>0.02893</v>
      </c>
      <c r="K251" s="69">
        <f>N152/1000*H251</f>
        <v>0.033619552999999996</v>
      </c>
    </row>
    <row r="252" s="65" customFormat="1" ht="12.75">
      <c r="K252" s="69"/>
    </row>
    <row r="253" spans="1:11" s="65" customFormat="1" ht="12.75">
      <c r="A253" s="65" t="s">
        <v>228</v>
      </c>
      <c r="B253" s="65" t="s">
        <v>229</v>
      </c>
      <c r="D253" s="65" t="s">
        <v>203</v>
      </c>
      <c r="K253" s="69"/>
    </row>
    <row r="254" spans="2:11" s="65" customFormat="1" ht="12.75">
      <c r="B254" s="65" t="s">
        <v>230</v>
      </c>
      <c r="D254" s="65" t="s">
        <v>209</v>
      </c>
      <c r="K254" s="69"/>
    </row>
    <row r="255" spans="4:11" s="65" customFormat="1" ht="12.75">
      <c r="D255" s="65" t="s">
        <v>191</v>
      </c>
      <c r="K255" s="69"/>
    </row>
    <row r="256" spans="4:11" s="65" customFormat="1" ht="12.75">
      <c r="D256" s="65" t="s">
        <v>158</v>
      </c>
      <c r="H256" s="65">
        <v>0.014679</v>
      </c>
      <c r="I256" s="65">
        <v>0</v>
      </c>
      <c r="K256" s="69">
        <f>N155/1000*H256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N156/1000*H257</f>
        <v>0</v>
      </c>
    </row>
    <row r="258" spans="4:11" s="65" customFormat="1" ht="12.75">
      <c r="D258" s="65" t="s">
        <v>198</v>
      </c>
      <c r="K258" s="69">
        <f>N157/1000*H258</f>
        <v>0</v>
      </c>
    </row>
    <row r="259" spans="4:11" s="65" customFormat="1" ht="12.75">
      <c r="D259" s="65" t="s">
        <v>211</v>
      </c>
      <c r="K259" s="69"/>
    </row>
    <row r="260" spans="4:11" s="65" customFormat="1" ht="12.75">
      <c r="D260" s="65" t="s">
        <v>191</v>
      </c>
      <c r="K260" s="69"/>
    </row>
    <row r="261" spans="4:11" s="65" customFormat="1" ht="12.75">
      <c r="D261" s="65" t="s">
        <v>192</v>
      </c>
      <c r="K261" s="69"/>
    </row>
    <row r="262" spans="4:11" s="65" customFormat="1" ht="12.75">
      <c r="D262" s="65" t="s">
        <v>158</v>
      </c>
      <c r="K262" s="69">
        <f>N140/1000*H262</f>
        <v>0</v>
      </c>
    </row>
    <row r="263" spans="4:11" s="65" customFormat="1" ht="12.75">
      <c r="D263" s="65" t="s">
        <v>196</v>
      </c>
      <c r="H263" s="65">
        <v>0.01631</v>
      </c>
      <c r="I263" s="65">
        <v>0</v>
      </c>
      <c r="K263" s="69">
        <f>N141/1000*H263</f>
        <v>0</v>
      </c>
    </row>
    <row r="264" spans="4:11" s="65" customFormat="1" ht="12.75">
      <c r="D264" s="65" t="s">
        <v>198</v>
      </c>
      <c r="H264" s="65">
        <v>0.017941</v>
      </c>
      <c r="I264" s="65">
        <v>0</v>
      </c>
      <c r="K264" s="69">
        <f>N142/1000*H264</f>
        <v>0.10927504279999999</v>
      </c>
    </row>
    <row r="265" spans="5:11" s="65" customFormat="1" ht="12.75">
      <c r="E265" s="65" t="s">
        <v>201</v>
      </c>
      <c r="G265" s="65">
        <v>0</v>
      </c>
      <c r="I265" s="65">
        <v>0</v>
      </c>
      <c r="K265" s="69"/>
    </row>
    <row r="266" s="65" customFormat="1" ht="12.75">
      <c r="K266" s="69"/>
    </row>
    <row r="267" spans="1:11" s="65" customFormat="1" ht="12.75">
      <c r="A267" s="65" t="s">
        <v>231</v>
      </c>
      <c r="B267" s="65" t="s">
        <v>232</v>
      </c>
      <c r="D267" s="65" t="s">
        <v>203</v>
      </c>
      <c r="K267" s="69"/>
    </row>
    <row r="268" spans="2:11" s="65" customFormat="1" ht="12.75">
      <c r="B268" s="65" t="s">
        <v>233</v>
      </c>
      <c r="D268" s="65" t="s">
        <v>211</v>
      </c>
      <c r="K268" s="69"/>
    </row>
    <row r="269" spans="4:11" s="65" customFormat="1" ht="12.75">
      <c r="D269" s="65" t="s">
        <v>209</v>
      </c>
      <c r="K269" s="69"/>
    </row>
    <row r="270" spans="4:11" s="65" customFormat="1" ht="12.75">
      <c r="D270" s="65" t="s">
        <v>234</v>
      </c>
      <c r="K270" s="69"/>
    </row>
    <row r="271" spans="4:11" s="65" customFormat="1" ht="12.75">
      <c r="D271" s="65" t="s">
        <v>235</v>
      </c>
      <c r="F271" s="65" t="s">
        <v>236</v>
      </c>
      <c r="K271" s="69"/>
    </row>
    <row r="272" spans="4:11" s="65" customFormat="1" ht="12.75">
      <c r="D272" s="65" t="s">
        <v>191</v>
      </c>
      <c r="F272" s="65" t="s">
        <v>237</v>
      </c>
      <c r="K272" s="69"/>
    </row>
    <row r="273" spans="4:11" s="65" customFormat="1" ht="12.75">
      <c r="D273" s="65" t="s">
        <v>158</v>
      </c>
      <c r="H273" s="65">
        <v>41000</v>
      </c>
      <c r="I273" s="65">
        <v>0</v>
      </c>
      <c r="K273" s="69">
        <f>N168/H273</f>
        <v>0</v>
      </c>
    </row>
    <row r="274" spans="4:11" s="65" customFormat="1" ht="12.75">
      <c r="D274" s="65" t="s">
        <v>196</v>
      </c>
      <c r="H274" s="65">
        <v>39000</v>
      </c>
      <c r="I274" s="65">
        <v>0</v>
      </c>
      <c r="K274" s="69">
        <f>N169/H274</f>
        <v>0</v>
      </c>
    </row>
    <row r="275" spans="4:11" s="65" customFormat="1" ht="12.75">
      <c r="D275" s="65" t="s">
        <v>198</v>
      </c>
      <c r="H275" s="65">
        <v>37000</v>
      </c>
      <c r="I275" s="65">
        <v>0</v>
      </c>
      <c r="K275" s="69">
        <f>N170/H275</f>
        <v>0.16461621621621622</v>
      </c>
    </row>
    <row r="276" s="65" customFormat="1" ht="12.75">
      <c r="K276" s="69"/>
    </row>
    <row r="277" spans="4:11" s="65" customFormat="1" ht="12.75">
      <c r="D277" s="65" t="s">
        <v>238</v>
      </c>
      <c r="K277" s="69"/>
    </row>
    <row r="278" spans="4:11" s="65" customFormat="1" ht="12.75">
      <c r="D278" s="65" t="s">
        <v>239</v>
      </c>
      <c r="F278" s="65" t="s">
        <v>240</v>
      </c>
      <c r="K278" s="69"/>
    </row>
    <row r="279" spans="4:11" s="65" customFormat="1" ht="12.75">
      <c r="D279" s="65" t="s">
        <v>191</v>
      </c>
      <c r="K279" s="69"/>
    </row>
    <row r="280" spans="4:11" s="65" customFormat="1" ht="12.75">
      <c r="D280" s="65" t="s">
        <v>158</v>
      </c>
      <c r="H280" s="65">
        <v>450</v>
      </c>
      <c r="I280" s="65">
        <v>0</v>
      </c>
      <c r="K280" s="69">
        <f>N173/H280</f>
        <v>0</v>
      </c>
    </row>
    <row r="281" spans="4:11" s="65" customFormat="1" ht="12.75">
      <c r="D281" s="65" t="s">
        <v>196</v>
      </c>
      <c r="H281" s="65">
        <v>375</v>
      </c>
      <c r="I281" s="65">
        <v>0</v>
      </c>
      <c r="K281" s="69">
        <f>N174/H281</f>
        <v>0</v>
      </c>
    </row>
    <row r="282" spans="4:11" s="65" customFormat="1" ht="12.75">
      <c r="D282" s="65" t="s">
        <v>198</v>
      </c>
      <c r="H282" s="65">
        <v>310</v>
      </c>
      <c r="I282" s="65">
        <v>0</v>
      </c>
      <c r="K282" s="69">
        <f>N175/H282</f>
        <v>0.38387096774193546</v>
      </c>
    </row>
    <row r="283" spans="5:11" s="65" customFormat="1" ht="12.75">
      <c r="E283" s="65" t="s">
        <v>201</v>
      </c>
      <c r="G283" s="65">
        <v>0</v>
      </c>
      <c r="I283" s="65">
        <v>0</v>
      </c>
      <c r="K283" s="69"/>
    </row>
    <row r="284" s="65" customFormat="1" ht="12.75">
      <c r="K284" s="69"/>
    </row>
    <row r="285" spans="1:11" s="65" customFormat="1" ht="12.75">
      <c r="A285" s="65" t="s">
        <v>241</v>
      </c>
      <c r="B285" s="65" t="s">
        <v>242</v>
      </c>
      <c r="D285" s="65" t="s">
        <v>243</v>
      </c>
      <c r="K285" s="69"/>
    </row>
    <row r="286" spans="4:11" s="65" customFormat="1" ht="12.75">
      <c r="D286" s="65" t="s">
        <v>244</v>
      </c>
      <c r="F286" s="65" t="s">
        <v>240</v>
      </c>
      <c r="K286" s="69"/>
    </row>
    <row r="287" spans="4:11" s="65" customFormat="1" ht="12.75">
      <c r="D287" s="65" t="s">
        <v>245</v>
      </c>
      <c r="K287" s="69"/>
    </row>
    <row r="288" spans="4:11" s="65" customFormat="1" ht="12.75">
      <c r="D288" s="65" t="s">
        <v>158</v>
      </c>
      <c r="H288" s="65">
        <v>2350</v>
      </c>
      <c r="I288" s="65">
        <v>0</v>
      </c>
      <c r="K288" s="69">
        <f>N173/H288</f>
        <v>0</v>
      </c>
    </row>
    <row r="289" spans="4:11" s="65" customFormat="1" ht="12.75">
      <c r="D289" s="65" t="s">
        <v>196</v>
      </c>
      <c r="H289" s="65">
        <v>2250</v>
      </c>
      <c r="I289" s="65">
        <v>0</v>
      </c>
      <c r="K289" s="69">
        <f>N174/H289</f>
        <v>0</v>
      </c>
    </row>
    <row r="290" spans="4:11" s="65" customFormat="1" ht="12.75">
      <c r="D290" s="65" t="s">
        <v>198</v>
      </c>
      <c r="H290" s="65">
        <v>2200</v>
      </c>
      <c r="I290" s="65">
        <v>0</v>
      </c>
      <c r="K290" s="69">
        <f>N175/H290</f>
        <v>0.05409090909090909</v>
      </c>
    </row>
    <row r="291" spans="5:11" s="65" customFormat="1" ht="12.75">
      <c r="E291" s="65" t="s">
        <v>201</v>
      </c>
      <c r="G291" s="65">
        <v>0</v>
      </c>
      <c r="I291" s="65">
        <v>0</v>
      </c>
      <c r="K291" s="69"/>
    </row>
    <row r="292" s="65" customFormat="1" ht="12.75">
      <c r="K292" s="69">
        <f>K154+K155+K156+K164+K165+K166+K171+K172+K173+K177+K178+K179+K185+K186+K187+K191+K192+K193+K199+K200+K201+K205+K206+K207+K213+K214+K215+K219+K220+K221+K228+K229+K230+K234+K235+K236+K240+K241+K242+K249+K250+K251+K256+K257+K258+K262+K263+K264+K273+K274+K275+K280+K281+K282+K288+K289+K290</f>
        <v>1.4092564864490609</v>
      </c>
    </row>
    <row r="293" spans="1:11" s="65" customFormat="1" ht="12.75">
      <c r="A293" s="65" t="s">
        <v>246</v>
      </c>
      <c r="B293" s="65" t="s">
        <v>247</v>
      </c>
      <c r="F293" s="65" t="s">
        <v>248</v>
      </c>
      <c r="I293" s="65">
        <v>1</v>
      </c>
      <c r="K293" s="69">
        <f>K292*1.12</f>
        <v>1.5783672648229483</v>
      </c>
    </row>
    <row r="294" s="65" customFormat="1" ht="12.75">
      <c r="B294" s="65" t="s">
        <v>249</v>
      </c>
    </row>
    <row r="295" s="65" customFormat="1" ht="12.75">
      <c r="B295" s="65" t="s">
        <v>250</v>
      </c>
    </row>
    <row r="296" s="65" customFormat="1" ht="12.75"/>
    <row r="297" spans="1:9" s="65" customFormat="1" ht="12.75">
      <c r="A297" s="65" t="s">
        <v>251</v>
      </c>
      <c r="B297" s="65" t="s">
        <v>252</v>
      </c>
      <c r="I297" s="65">
        <v>2</v>
      </c>
    </row>
    <row r="298" spans="1:9" s="65" customFormat="1" ht="12.75">
      <c r="A298" s="65" t="s">
        <v>253</v>
      </c>
      <c r="B298" s="65" t="s">
        <v>254</v>
      </c>
      <c r="I298" s="65">
        <v>1</v>
      </c>
    </row>
    <row r="299" spans="1:9" s="65" customFormat="1" ht="12.75">
      <c r="A299" s="65" t="s">
        <v>255</v>
      </c>
      <c r="B299" s="65" t="s">
        <v>256</v>
      </c>
      <c r="I299" s="65">
        <v>1</v>
      </c>
    </row>
    <row r="300" spans="2:9" s="65" customFormat="1" ht="12.75">
      <c r="B300" s="65" t="s">
        <v>257</v>
      </c>
      <c r="I300" s="65">
        <v>5</v>
      </c>
    </row>
    <row r="301" s="65" customFormat="1" ht="12.75">
      <c r="F301" s="65" t="s">
        <v>258</v>
      </c>
    </row>
    <row r="302" spans="1:9" s="65" customFormat="1" ht="12.75">
      <c r="A302" s="65" t="s">
        <v>259</v>
      </c>
      <c r="B302" s="65" t="s">
        <v>260</v>
      </c>
      <c r="E302" s="65" t="s">
        <v>261</v>
      </c>
      <c r="H302" s="65">
        <v>1200</v>
      </c>
      <c r="I302" s="65">
        <f>G302/H302</f>
        <v>0</v>
      </c>
    </row>
    <row r="303" spans="5:9" s="65" customFormat="1" ht="12.75">
      <c r="E303" s="65" t="s">
        <v>262</v>
      </c>
      <c r="G303" s="65">
        <v>840</v>
      </c>
      <c r="H303" s="65">
        <v>1650</v>
      </c>
      <c r="I303" s="69">
        <f>G303/H303</f>
        <v>0.509090909090909</v>
      </c>
    </row>
    <row r="304" spans="5:9" s="65" customFormat="1" ht="12.75">
      <c r="E304" s="65" t="s">
        <v>263</v>
      </c>
      <c r="G304" s="65">
        <v>5751</v>
      </c>
      <c r="H304" s="65">
        <v>9000</v>
      </c>
      <c r="I304" s="69">
        <f>G304/H304</f>
        <v>0.639</v>
      </c>
    </row>
    <row r="305" spans="3:9" s="65" customFormat="1" ht="12.75">
      <c r="C305" s="65" t="s">
        <v>201</v>
      </c>
      <c r="G305" s="65">
        <f>G303+G304</f>
        <v>6591</v>
      </c>
      <c r="I305" s="69">
        <f>I302+I303+I304</f>
        <v>1.148090909090909</v>
      </c>
    </row>
    <row r="306" s="65" customFormat="1" ht="12.75">
      <c r="F306" s="65" t="s">
        <v>258</v>
      </c>
    </row>
    <row r="307" spans="1:9" s="65" customFormat="1" ht="12.75">
      <c r="A307" s="65" t="s">
        <v>264</v>
      </c>
      <c r="B307" s="65" t="s">
        <v>265</v>
      </c>
      <c r="E307" s="65" t="s">
        <v>266</v>
      </c>
      <c r="G307" s="65">
        <v>563</v>
      </c>
      <c r="H307" s="65">
        <v>800</v>
      </c>
      <c r="I307" s="69">
        <f>G307/H307</f>
        <v>0.70375</v>
      </c>
    </row>
    <row r="308" spans="2:9" s="65" customFormat="1" ht="12.75">
      <c r="B308" s="65" t="s">
        <v>267</v>
      </c>
      <c r="E308" s="65" t="s">
        <v>268</v>
      </c>
      <c r="H308" s="65">
        <v>960</v>
      </c>
      <c r="I308" s="69">
        <f>G308/H308</f>
        <v>0</v>
      </c>
    </row>
    <row r="309" s="65" customFormat="1" ht="12.75">
      <c r="E309" s="65" t="s">
        <v>269</v>
      </c>
    </row>
    <row r="310" spans="3:9" s="65" customFormat="1" ht="12.75">
      <c r="C310" s="65" t="s">
        <v>201</v>
      </c>
      <c r="G310" s="65">
        <f>G307+G308+G309</f>
        <v>563</v>
      </c>
      <c r="I310" s="69">
        <f>I307+I308</f>
        <v>0.70375</v>
      </c>
    </row>
    <row r="311" s="65" customFormat="1" ht="12.75">
      <c r="F311" s="65" t="s">
        <v>270</v>
      </c>
    </row>
    <row r="312" spans="1:9" s="65" customFormat="1" ht="12.75">
      <c r="A312" s="65" t="s">
        <v>271</v>
      </c>
      <c r="B312" s="65" t="s">
        <v>272</v>
      </c>
      <c r="E312" s="65" t="s">
        <v>273</v>
      </c>
      <c r="H312" s="65">
        <v>500</v>
      </c>
      <c r="I312" s="69">
        <f>G312/H312</f>
        <v>0</v>
      </c>
    </row>
    <row r="313" spans="5:9" s="65" customFormat="1" ht="12.75">
      <c r="E313" s="65" t="s">
        <v>274</v>
      </c>
      <c r="H313" s="65">
        <v>700</v>
      </c>
      <c r="I313" s="69">
        <f>G313/H313</f>
        <v>0</v>
      </c>
    </row>
    <row r="314" s="65" customFormat="1" ht="12.75">
      <c r="E314" s="65" t="s">
        <v>275</v>
      </c>
    </row>
    <row r="315" spans="3:9" s="65" customFormat="1" ht="12.75">
      <c r="C315" s="65" t="s">
        <v>201</v>
      </c>
      <c r="G315" s="65">
        <f>G312+G313</f>
        <v>0</v>
      </c>
      <c r="I315" s="69">
        <f>I312+I313</f>
        <v>0</v>
      </c>
    </row>
    <row r="316" spans="1:2" s="65" customFormat="1" ht="12.75">
      <c r="A316" s="65" t="s">
        <v>276</v>
      </c>
      <c r="B316" s="65" t="s">
        <v>277</v>
      </c>
    </row>
    <row r="317" spans="2:9" s="65" customFormat="1" ht="12.75">
      <c r="B317" s="65" t="s">
        <v>278</v>
      </c>
      <c r="I317" s="65">
        <v>2</v>
      </c>
    </row>
  </sheetData>
  <sheetProtection/>
  <mergeCells count="46">
    <mergeCell ref="A114:G114"/>
    <mergeCell ref="A118:E118"/>
    <mergeCell ref="A120:G120"/>
    <mergeCell ref="A124:D124"/>
    <mergeCell ref="C105:I105"/>
    <mergeCell ref="C74:D74"/>
    <mergeCell ref="A77:F77"/>
    <mergeCell ref="A78:G78"/>
    <mergeCell ref="A79:D79"/>
    <mergeCell ref="E79:G79"/>
    <mergeCell ref="A80:E80"/>
    <mergeCell ref="A58:G58"/>
    <mergeCell ref="A59:G59"/>
    <mergeCell ref="A62:F62"/>
    <mergeCell ref="A66:D66"/>
    <mergeCell ref="A67:F67"/>
    <mergeCell ref="A70:E70"/>
    <mergeCell ref="A45:G45"/>
    <mergeCell ref="A46:F46"/>
    <mergeCell ref="A47:F47"/>
    <mergeCell ref="A52:F52"/>
    <mergeCell ref="A56:G56"/>
    <mergeCell ref="A57:E57"/>
    <mergeCell ref="A39:G39"/>
    <mergeCell ref="A40:G40"/>
    <mergeCell ref="A41:G41"/>
    <mergeCell ref="A42:G42"/>
    <mergeCell ref="A43:G43"/>
    <mergeCell ref="A44:G44"/>
    <mergeCell ref="A31:G31"/>
    <mergeCell ref="A32:G32"/>
    <mergeCell ref="A34:E34"/>
    <mergeCell ref="A36:G36"/>
    <mergeCell ref="A37:G37"/>
    <mergeCell ref="A38:G38"/>
    <mergeCell ref="A15:G15"/>
    <mergeCell ref="A19:F19"/>
    <mergeCell ref="A21:F21"/>
    <mergeCell ref="A25:F25"/>
    <mergeCell ref="A27:G27"/>
    <mergeCell ref="A29:G29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9 M59 M66 M73 L83:M83 H108:H110 H112 H114 K114 H120 H122 H124 H126 H128" evalError="1"/>
  </ignoredError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12"/>
  <sheetViews>
    <sheetView zoomScalePageLayoutView="0" workbookViewId="0" topLeftCell="A1">
      <selection activeCell="I128" sqref="I128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1032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9.11*1.042</f>
        <v>9.49262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65">
        <f>L6*4%</f>
        <v>0.3797048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54497.15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K17+K30+K46+K59+K66+K76</f>
        <v>51378.284612456955</v>
      </c>
      <c r="L15" s="68"/>
      <c r="M15" s="65" t="s">
        <v>73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74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H19+H21+H22+H24+H26+H27+H28+H20</f>
        <v>9554.013807104682</v>
      </c>
      <c r="M17" s="65" t="s">
        <v>76</v>
      </c>
      <c r="O17" s="69">
        <f>I300</f>
        <v>1.148090909090909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I305</f>
        <v>0.6827500000000001</v>
      </c>
    </row>
    <row r="19" spans="1:15" ht="12.75">
      <c r="A19" s="113" t="s">
        <v>281</v>
      </c>
      <c r="B19" s="113"/>
      <c r="C19" s="113"/>
      <c r="D19" s="113"/>
      <c r="E19" s="113"/>
      <c r="F19" s="113"/>
      <c r="G19" s="22"/>
      <c r="H19" s="23">
        <f>O17*2600*1.75*1.07</f>
        <v>5589.480590909092</v>
      </c>
      <c r="I19" s="22"/>
      <c r="J19" s="22"/>
      <c r="K19" s="23"/>
      <c r="M19" s="65" t="s">
        <v>80</v>
      </c>
      <c r="O19" s="69"/>
    </row>
    <row r="20" spans="1:15" ht="12.75" customHeight="1">
      <c r="A20" s="24" t="s">
        <v>1033</v>
      </c>
      <c r="B20" s="24"/>
      <c r="C20" s="24"/>
      <c r="D20" s="24"/>
      <c r="E20" s="24"/>
      <c r="F20" s="24"/>
      <c r="G20" s="22"/>
      <c r="H20" s="23">
        <f>O18*2203*1.3*1.07</f>
        <v>2092.2006657500006</v>
      </c>
      <c r="I20" s="22"/>
      <c r="J20" s="22"/>
      <c r="K20" s="23"/>
      <c r="M20" s="65" t="s">
        <v>82</v>
      </c>
      <c r="O20" s="69">
        <v>5741</v>
      </c>
    </row>
    <row r="21" spans="1:15" ht="12.75" hidden="1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83</v>
      </c>
      <c r="O21" s="65">
        <v>279</v>
      </c>
    </row>
    <row r="22" spans="1:16" ht="12.75">
      <c r="A22" s="23">
        <f>H19+H20</f>
        <v>7681.6812566590925</v>
      </c>
      <c r="B22" s="22" t="s">
        <v>84</v>
      </c>
      <c r="C22" s="22"/>
      <c r="D22" s="22"/>
      <c r="E22" s="22"/>
      <c r="F22" s="22"/>
      <c r="G22" s="22"/>
      <c r="H22" s="23">
        <f>A22*0.142</f>
        <v>1090.798738445591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1034</v>
      </c>
      <c r="B24" s="113"/>
      <c r="C24" s="113"/>
      <c r="D24" s="113"/>
      <c r="E24" s="113"/>
      <c r="F24" s="113"/>
      <c r="G24" s="22"/>
      <c r="H24" s="23">
        <f>0.057*O20</f>
        <v>327.237</v>
      </c>
      <c r="I24" s="23"/>
      <c r="J24" s="22"/>
      <c r="K24" s="23"/>
      <c r="N24" s="65">
        <v>10</v>
      </c>
      <c r="P24" s="65">
        <f>O24/2</f>
        <v>0</v>
      </c>
    </row>
    <row r="25" spans="1:11" ht="12.75">
      <c r="A25" s="24" t="s">
        <v>1035</v>
      </c>
      <c r="B25" s="24"/>
      <c r="C25" s="24"/>
      <c r="D25" s="24"/>
      <c r="E25" s="24"/>
      <c r="F25" s="24"/>
      <c r="G25" s="22"/>
      <c r="H25" s="23">
        <f>O20*0.0085</f>
        <v>48.798500000000004</v>
      </c>
      <c r="I25" s="23"/>
      <c r="J25" s="22"/>
      <c r="K25" s="23"/>
    </row>
    <row r="26" spans="1:13" ht="12.75">
      <c r="A26" s="113" t="s">
        <v>1036</v>
      </c>
      <c r="B26" s="113"/>
      <c r="C26" s="113"/>
      <c r="D26" s="113"/>
      <c r="E26" s="113"/>
      <c r="F26" s="113"/>
      <c r="G26" s="113"/>
      <c r="H26" s="23">
        <f>0.005*O20</f>
        <v>28.705000000000002</v>
      </c>
      <c r="I26" s="22"/>
      <c r="J26" s="22"/>
      <c r="K26" s="23"/>
      <c r="M26" s="65" t="s">
        <v>90</v>
      </c>
    </row>
    <row r="27" spans="1:15" ht="12.75">
      <c r="A27" s="113" t="s">
        <v>1037</v>
      </c>
      <c r="B27" s="113"/>
      <c r="C27" s="113"/>
      <c r="D27" s="113"/>
      <c r="E27" s="113"/>
      <c r="F27" s="113"/>
      <c r="G27" s="113"/>
      <c r="H27" s="23">
        <f>O20*0.017</f>
        <v>97.59700000000001</v>
      </c>
      <c r="I27" s="22"/>
      <c r="J27" s="22">
        <v>13606.82</v>
      </c>
      <c r="K27" s="23"/>
      <c r="M27" s="65" t="s">
        <v>92</v>
      </c>
      <c r="O27" s="65">
        <v>48</v>
      </c>
    </row>
    <row r="28" spans="1:15" ht="12.75">
      <c r="A28" s="113" t="s">
        <v>93</v>
      </c>
      <c r="B28" s="113"/>
      <c r="C28" s="113"/>
      <c r="D28" s="113"/>
      <c r="E28" s="113"/>
      <c r="F28" s="113"/>
      <c r="G28" s="113"/>
      <c r="H28" s="23">
        <f>0.054*O20*1.058</f>
        <v>327.994812</v>
      </c>
      <c r="I28" s="22"/>
      <c r="J28" s="22"/>
      <c r="K28" s="23"/>
      <c r="M28" s="65" t="s">
        <v>94</v>
      </c>
      <c r="O28" s="65">
        <v>1468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H32+H33+H34+H35+H36+H37+H38+H40+H41+H42+H43+K41+H39+H44</f>
        <v>10684.347194444445</v>
      </c>
      <c r="M30" s="65" t="s">
        <v>96</v>
      </c>
      <c r="O30" s="69">
        <f>K288</f>
        <v>1.5804191688930025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3.1</v>
      </c>
    </row>
    <row r="32" spans="1:11" ht="12.75">
      <c r="A32" s="113" t="s">
        <v>1038</v>
      </c>
      <c r="B32" s="113"/>
      <c r="C32" s="113"/>
      <c r="D32" s="113"/>
      <c r="E32" s="113"/>
      <c r="F32" s="113"/>
      <c r="G32" s="113"/>
      <c r="H32" s="28">
        <f>(O21*1.5)/12*90.3*1.058</f>
        <v>3331.866825</v>
      </c>
      <c r="I32" s="22"/>
      <c r="J32" s="22"/>
      <c r="K32" s="29"/>
    </row>
    <row r="33" spans="1:11" ht="12.75">
      <c r="A33" s="113" t="s">
        <v>1039</v>
      </c>
      <c r="B33" s="113"/>
      <c r="C33" s="113"/>
      <c r="D33" s="113"/>
      <c r="E33" s="113"/>
      <c r="F33" s="113"/>
      <c r="G33" s="113"/>
      <c r="H33" s="28">
        <f>O21*1.5*33.1/12*1.058</f>
        <v>1221.315525</v>
      </c>
      <c r="I33" s="22"/>
      <c r="J33" s="22"/>
      <c r="K33" s="29"/>
    </row>
    <row r="34" spans="1:11" ht="12.75">
      <c r="A34" s="113" t="s">
        <v>1040</v>
      </c>
      <c r="B34" s="113"/>
      <c r="C34" s="113"/>
      <c r="D34" s="113"/>
      <c r="E34" s="113"/>
      <c r="F34" s="113"/>
      <c r="G34" s="113"/>
      <c r="H34" s="28">
        <f>O28*2.48</f>
        <v>3640.64</v>
      </c>
      <c r="I34" s="22"/>
      <c r="J34" s="22"/>
      <c r="K34" s="29"/>
    </row>
    <row r="35" spans="1:11" ht="12.75">
      <c r="A35" s="113" t="s">
        <v>1041</v>
      </c>
      <c r="B35" s="113"/>
      <c r="C35" s="113"/>
      <c r="D35" s="113"/>
      <c r="E35" s="113"/>
      <c r="F35" s="113"/>
      <c r="G35" s="113"/>
      <c r="H35" s="28">
        <f>O20*0.0277</f>
        <v>159.0257</v>
      </c>
      <c r="I35" s="22"/>
      <c r="J35" s="22"/>
      <c r="K35" s="29"/>
    </row>
    <row r="36" spans="1:11" ht="12.75">
      <c r="A36" s="113" t="s">
        <v>1042</v>
      </c>
      <c r="B36" s="113"/>
      <c r="C36" s="113"/>
      <c r="D36" s="113"/>
      <c r="E36" s="113"/>
      <c r="F36" s="113"/>
      <c r="G36" s="113"/>
      <c r="H36" s="28">
        <f>O20*0.0027</f>
        <v>15.5007</v>
      </c>
      <c r="I36" s="22"/>
      <c r="J36" s="22"/>
      <c r="K36" s="29"/>
    </row>
    <row r="37" spans="1:11" ht="12.75">
      <c r="A37" s="113" t="s">
        <v>103</v>
      </c>
      <c r="B37" s="113"/>
      <c r="C37" s="113"/>
      <c r="D37" s="113"/>
      <c r="E37" s="113"/>
      <c r="F37" s="113"/>
      <c r="G37" s="113"/>
      <c r="H37" s="28">
        <f>O27*4.81/12</f>
        <v>19.24</v>
      </c>
      <c r="I37" s="22"/>
      <c r="J37" s="22"/>
      <c r="K37" s="29"/>
    </row>
    <row r="38" spans="1:12" ht="12.75">
      <c r="A38" s="113" t="s">
        <v>104</v>
      </c>
      <c r="B38" s="113"/>
      <c r="C38" s="113"/>
      <c r="D38" s="113"/>
      <c r="E38" s="113"/>
      <c r="F38" s="113"/>
      <c r="G38" s="113"/>
      <c r="H38" s="28">
        <f>119*80/12/3</f>
        <v>264.44444444444446</v>
      </c>
      <c r="I38" s="22"/>
      <c r="J38" s="22"/>
      <c r="K38" s="29"/>
      <c r="L38" s="65">
        <f>119*80*1.274/2/12</f>
        <v>505.3533333333333</v>
      </c>
    </row>
    <row r="39" spans="1:11" ht="12.75">
      <c r="A39" s="30" t="s">
        <v>1043</v>
      </c>
      <c r="B39" s="30"/>
      <c r="C39" s="30"/>
      <c r="D39" s="30"/>
      <c r="E39" s="30"/>
      <c r="F39" s="30"/>
      <c r="G39" s="30"/>
      <c r="H39" s="31">
        <f>O20*0.216</f>
        <v>1240.056</v>
      </c>
      <c r="I39" s="22"/>
      <c r="J39" s="22"/>
      <c r="K39" s="29"/>
    </row>
    <row r="40" spans="1:11" ht="12.75">
      <c r="A40" s="113" t="s">
        <v>1044</v>
      </c>
      <c r="B40" s="113"/>
      <c r="C40" s="113"/>
      <c r="D40" s="113"/>
      <c r="E40" s="113"/>
      <c r="F40" s="113"/>
      <c r="G40" s="113"/>
      <c r="H40" s="28">
        <f>O20*0.027</f>
        <v>155.007</v>
      </c>
      <c r="I40" s="22"/>
      <c r="J40" s="32"/>
      <c r="K40" s="29"/>
    </row>
    <row r="41" spans="1:11" ht="12.75">
      <c r="A41" s="113" t="s">
        <v>1045</v>
      </c>
      <c r="B41" s="113"/>
      <c r="C41" s="113"/>
      <c r="D41" s="113"/>
      <c r="E41" s="113"/>
      <c r="F41" s="113"/>
      <c r="G41" s="113"/>
      <c r="H41" s="28">
        <f>O20*0.022</f>
        <v>126.30199999999999</v>
      </c>
      <c r="I41" s="22"/>
      <c r="J41" s="22"/>
      <c r="K41" s="29"/>
    </row>
    <row r="42" spans="1:11" ht="12.75">
      <c r="A42" s="113" t="s">
        <v>1046</v>
      </c>
      <c r="B42" s="113"/>
      <c r="C42" s="113"/>
      <c r="D42" s="113"/>
      <c r="E42" s="113"/>
      <c r="F42" s="113"/>
      <c r="G42" s="113"/>
      <c r="H42" s="28">
        <f>O20*0.022</f>
        <v>126.30199999999999</v>
      </c>
      <c r="I42" s="22"/>
      <c r="J42" s="22"/>
      <c r="K42" s="29"/>
    </row>
    <row r="43" spans="1:11" ht="12.75">
      <c r="A43" s="113" t="s">
        <v>1047</v>
      </c>
      <c r="B43" s="113"/>
      <c r="C43" s="113"/>
      <c r="D43" s="113"/>
      <c r="E43" s="113"/>
      <c r="F43" s="113"/>
      <c r="G43" s="24"/>
      <c r="H43" s="28">
        <f>O20*0.053</f>
        <v>304.27299999999997</v>
      </c>
      <c r="I43" s="22"/>
      <c r="J43" s="22"/>
      <c r="K43" s="29"/>
    </row>
    <row r="44" spans="1:11" ht="12.75">
      <c r="A44" s="113" t="s">
        <v>1048</v>
      </c>
      <c r="B44" s="113"/>
      <c r="C44" s="113"/>
      <c r="D44" s="113"/>
      <c r="E44" s="113"/>
      <c r="F44" s="113"/>
      <c r="G44" s="24"/>
      <c r="H44" s="28">
        <f>O20*0.014</f>
        <v>80.374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3" ht="15.75">
      <c r="A46" s="20" t="s">
        <v>111</v>
      </c>
      <c r="B46" s="20"/>
      <c r="C46" s="20"/>
      <c r="D46" s="20"/>
      <c r="E46" s="20"/>
      <c r="F46" s="20"/>
      <c r="G46" s="20"/>
      <c r="H46" s="27"/>
      <c r="I46" s="20"/>
      <c r="J46" s="20"/>
      <c r="K46" s="21">
        <f>H49+H51+H52+H53+H54+H55+H56+H57</f>
        <v>21475.52421090783</v>
      </c>
      <c r="M46" s="71" t="e">
        <f>K46/309084*#REF!</f>
        <v>#REF!</v>
      </c>
    </row>
    <row r="47" spans="1:11" ht="12.75">
      <c r="A47" s="22"/>
      <c r="B47" s="22" t="s">
        <v>64</v>
      </c>
      <c r="C47" s="22"/>
      <c r="D47" s="22"/>
      <c r="E47" s="22"/>
      <c r="F47" s="22"/>
      <c r="G47" s="22"/>
      <c r="H47" s="28"/>
      <c r="I47" s="22"/>
      <c r="J47" s="22"/>
      <c r="K47" s="29"/>
    </row>
    <row r="48" spans="1:11" ht="12.75">
      <c r="A48" s="33" t="s">
        <v>112</v>
      </c>
      <c r="B48" s="33"/>
      <c r="C48" s="33"/>
      <c r="D48" s="33"/>
      <c r="E48" s="33"/>
      <c r="F48" s="33"/>
      <c r="G48" s="33"/>
      <c r="H48" s="34"/>
      <c r="I48" s="33"/>
      <c r="J48" s="33"/>
      <c r="K48" s="35"/>
    </row>
    <row r="49" spans="1:11" ht="12.75">
      <c r="A49" s="111" t="s">
        <v>113</v>
      </c>
      <c r="B49" s="111"/>
      <c r="C49" s="111"/>
      <c r="D49" s="111"/>
      <c r="E49" s="111"/>
      <c r="F49" s="111"/>
      <c r="G49" s="36"/>
      <c r="H49" s="37">
        <f>K288*24.48*165.1*1.5*1.07</f>
        <v>10251.934246854496</v>
      </c>
      <c r="I49" s="38"/>
      <c r="J49" s="38"/>
      <c r="K49" s="35"/>
    </row>
    <row r="50" spans="1:11" ht="12.75">
      <c r="A50" s="33" t="s">
        <v>114</v>
      </c>
      <c r="B50" s="33"/>
      <c r="C50" s="33"/>
      <c r="D50" s="33"/>
      <c r="E50" s="33"/>
      <c r="F50" s="33"/>
      <c r="G50" s="33"/>
      <c r="H50" s="34"/>
      <c r="I50" s="33"/>
      <c r="J50" s="33"/>
      <c r="K50" s="35"/>
    </row>
    <row r="51" spans="1:11" ht="12.75">
      <c r="A51" s="39">
        <f>H49</f>
        <v>10251.934246854496</v>
      </c>
      <c r="B51" s="36" t="s">
        <v>115</v>
      </c>
      <c r="C51" s="36"/>
      <c r="D51" s="36"/>
      <c r="E51" s="36"/>
      <c r="F51" s="36"/>
      <c r="G51" s="38"/>
      <c r="H51" s="37">
        <f>H49*14.2%</f>
        <v>1455.7746630533384</v>
      </c>
      <c r="I51" s="38"/>
      <c r="J51" s="38"/>
      <c r="K51" s="35"/>
    </row>
    <row r="52" spans="1:11" ht="12.75">
      <c r="A52" s="30" t="s">
        <v>86</v>
      </c>
      <c r="B52" s="30"/>
      <c r="C52" s="30"/>
      <c r="D52" s="30"/>
      <c r="E52" s="30"/>
      <c r="F52" s="40"/>
      <c r="G52" s="40"/>
      <c r="H52" s="37">
        <f>0.04*O20</f>
        <v>229.64000000000001</v>
      </c>
      <c r="I52" s="38"/>
      <c r="J52" s="38"/>
      <c r="K52" s="35"/>
    </row>
    <row r="53" spans="1:12" ht="12.75">
      <c r="A53" s="108" t="s">
        <v>116</v>
      </c>
      <c r="B53" s="108"/>
      <c r="C53" s="108"/>
      <c r="D53" s="108"/>
      <c r="E53" s="108"/>
      <c r="F53" s="108"/>
      <c r="G53" s="108"/>
      <c r="H53" s="37">
        <v>8550</v>
      </c>
      <c r="I53" s="38"/>
      <c r="J53" s="38"/>
      <c r="K53" s="35"/>
      <c r="L53" s="65">
        <f>0.97*O20</f>
        <v>5568.7699999999995</v>
      </c>
    </row>
    <row r="54" spans="1:11" ht="12.75">
      <c r="A54" s="108" t="s">
        <v>1049</v>
      </c>
      <c r="B54" s="108"/>
      <c r="C54" s="108"/>
      <c r="D54" s="108"/>
      <c r="E54" s="108"/>
      <c r="F54" s="30"/>
      <c r="G54" s="30"/>
      <c r="H54" s="37">
        <f>0.0037*O20</f>
        <v>21.2417</v>
      </c>
      <c r="I54" s="38"/>
      <c r="J54" s="38"/>
      <c r="K54" s="35"/>
    </row>
    <row r="55" spans="1:12" ht="12.75">
      <c r="A55" s="108" t="s">
        <v>1050</v>
      </c>
      <c r="B55" s="108"/>
      <c r="C55" s="108"/>
      <c r="D55" s="108"/>
      <c r="E55" s="108"/>
      <c r="F55" s="108"/>
      <c r="G55" s="108"/>
      <c r="H55" s="37">
        <f>O20*0.082</f>
        <v>470.762</v>
      </c>
      <c r="I55" s="38"/>
      <c r="J55" s="38"/>
      <c r="K55" s="35"/>
      <c r="L55" s="69"/>
    </row>
    <row r="56" spans="1:13" ht="12.75">
      <c r="A56" s="108" t="s">
        <v>1051</v>
      </c>
      <c r="B56" s="108"/>
      <c r="C56" s="108"/>
      <c r="D56" s="108"/>
      <c r="E56" s="108"/>
      <c r="F56" s="108"/>
      <c r="G56" s="108"/>
      <c r="H56" s="31">
        <f>O20*0.023*1.107</f>
        <v>146.171601</v>
      </c>
      <c r="I56" s="33"/>
      <c r="J56" s="33"/>
      <c r="K56" s="35"/>
      <c r="M56" s="65" t="e">
        <f>36646.37/309083*#REF!</f>
        <v>#REF!</v>
      </c>
    </row>
    <row r="57" spans="1:11" ht="12.75">
      <c r="A57" s="41" t="s">
        <v>120</v>
      </c>
      <c r="B57" s="41"/>
      <c r="C57" s="41"/>
      <c r="D57" s="41"/>
      <c r="E57" s="40"/>
      <c r="F57" s="40"/>
      <c r="G57" s="40"/>
      <c r="H57" s="31">
        <v>350</v>
      </c>
      <c r="I57" s="40"/>
      <c r="J57" s="40"/>
      <c r="K57" s="35"/>
    </row>
    <row r="58" spans="1:11" ht="12.75">
      <c r="A58" s="41"/>
      <c r="B58" s="41"/>
      <c r="C58" s="41"/>
      <c r="D58" s="41"/>
      <c r="E58" s="40"/>
      <c r="F58" s="40"/>
      <c r="G58" s="40"/>
      <c r="H58" s="31"/>
      <c r="I58" s="40"/>
      <c r="J58" s="40"/>
      <c r="K58" s="35"/>
    </row>
    <row r="59" spans="1:13" ht="15.75">
      <c r="A59" s="110" t="s">
        <v>121</v>
      </c>
      <c r="B59" s="110"/>
      <c r="C59" s="110"/>
      <c r="D59" s="110"/>
      <c r="E59" s="42"/>
      <c r="F59" s="42"/>
      <c r="G59" s="20"/>
      <c r="H59" s="27"/>
      <c r="I59" s="20"/>
      <c r="J59" s="20"/>
      <c r="K59" s="21">
        <f>H61+H62+H63+H64</f>
        <v>4150.1689</v>
      </c>
      <c r="M59" s="72" t="e">
        <f>51932.37/301083*#REF!</f>
        <v>#REF!</v>
      </c>
    </row>
    <row r="60" spans="1:11" ht="12.75">
      <c r="A60" s="111" t="s">
        <v>122</v>
      </c>
      <c r="B60" s="111"/>
      <c r="C60" s="111"/>
      <c r="D60" s="111"/>
      <c r="E60" s="111"/>
      <c r="F60" s="111"/>
      <c r="G60" s="36"/>
      <c r="H60" s="37"/>
      <c r="I60" s="36"/>
      <c r="J60" s="36"/>
      <c r="K60" s="35"/>
    </row>
    <row r="61" spans="1:11" ht="12.75">
      <c r="A61" s="36" t="s">
        <v>1052</v>
      </c>
      <c r="B61" s="36"/>
      <c r="C61" s="36"/>
      <c r="D61" s="36"/>
      <c r="E61" s="36"/>
      <c r="F61" s="36"/>
      <c r="G61" s="36"/>
      <c r="H61" s="37">
        <f>0.2227*O20</f>
        <v>1278.5207</v>
      </c>
      <c r="I61" s="36"/>
      <c r="J61" s="36"/>
      <c r="K61" s="35"/>
    </row>
    <row r="62" spans="1:11" ht="12.75">
      <c r="A62" s="30" t="s">
        <v>1053</v>
      </c>
      <c r="B62" s="43"/>
      <c r="C62" s="30"/>
      <c r="D62" s="30"/>
      <c r="E62" s="44"/>
      <c r="F62" s="38"/>
      <c r="G62" s="38"/>
      <c r="H62" s="37">
        <f>0.0257*O20</f>
        <v>147.5437</v>
      </c>
      <c r="I62" s="38"/>
      <c r="J62" s="38"/>
      <c r="K62" s="35"/>
    </row>
    <row r="63" spans="1:11" ht="12.75">
      <c r="A63" s="111" t="s">
        <v>1054</v>
      </c>
      <c r="B63" s="111"/>
      <c r="C63" s="111"/>
      <c r="D63" s="111"/>
      <c r="E63" s="111"/>
      <c r="F63" s="38"/>
      <c r="G63" s="38"/>
      <c r="H63" s="37">
        <f>0.0945*O20</f>
        <v>542.5245</v>
      </c>
      <c r="I63" s="38"/>
      <c r="J63" s="38"/>
      <c r="K63" s="35"/>
    </row>
    <row r="64" spans="1:11" ht="12.75">
      <c r="A64" s="36" t="s">
        <v>1055</v>
      </c>
      <c r="B64" s="36"/>
      <c r="C64" s="36"/>
      <c r="D64" s="36"/>
      <c r="E64" s="36"/>
      <c r="F64" s="38"/>
      <c r="G64" s="38"/>
      <c r="H64" s="37">
        <f>0.38*O20</f>
        <v>2181.58</v>
      </c>
      <c r="I64" s="38"/>
      <c r="J64" s="38"/>
      <c r="K64" s="45"/>
    </row>
    <row r="65" spans="1:11" ht="12.75">
      <c r="A65" s="30"/>
      <c r="B65" s="30"/>
      <c r="C65" s="30"/>
      <c r="D65" s="30"/>
      <c r="E65" s="38"/>
      <c r="F65" s="38"/>
      <c r="G65" s="38"/>
      <c r="H65" s="37"/>
      <c r="I65" s="38"/>
      <c r="J65" s="38"/>
      <c r="K65" s="35"/>
    </row>
    <row r="66" spans="1:13" ht="15.75">
      <c r="A66" s="26" t="s">
        <v>127</v>
      </c>
      <c r="B66" s="26"/>
      <c r="C66" s="26"/>
      <c r="D66" s="26"/>
      <c r="E66" s="26"/>
      <c r="F66" s="26"/>
      <c r="G66" s="26"/>
      <c r="H66" s="46"/>
      <c r="I66" s="20"/>
      <c r="J66" s="20"/>
      <c r="K66" s="21">
        <f>O20*0.94</f>
        <v>5396.54</v>
      </c>
      <c r="M66" s="71" t="e">
        <f>231179.9/309083*#REF!</f>
        <v>#REF!</v>
      </c>
    </row>
    <row r="67" spans="1:11" ht="15.75">
      <c r="A67" s="47"/>
      <c r="B67" s="47"/>
      <c r="C67" s="112" t="s">
        <v>64</v>
      </c>
      <c r="D67" s="112"/>
      <c r="E67" s="47"/>
      <c r="F67" s="47"/>
      <c r="G67" s="47"/>
      <c r="H67" s="48"/>
      <c r="I67" s="47"/>
      <c r="J67" s="47"/>
      <c r="K67" s="49"/>
    </row>
    <row r="68" spans="1:11" ht="12.75">
      <c r="A68" s="30" t="s">
        <v>128</v>
      </c>
      <c r="B68" s="30"/>
      <c r="C68" s="30"/>
      <c r="D68" s="30"/>
      <c r="E68" s="30"/>
      <c r="F68" s="30"/>
      <c r="G68" s="30"/>
      <c r="H68" s="37"/>
      <c r="I68" s="38"/>
      <c r="J68" s="38"/>
      <c r="K68" s="35"/>
    </row>
    <row r="69" spans="1:11" ht="12.75">
      <c r="A69" s="30" t="s">
        <v>129</v>
      </c>
      <c r="B69" s="43"/>
      <c r="C69" s="30"/>
      <c r="D69" s="30"/>
      <c r="E69" s="30"/>
      <c r="F69" s="44"/>
      <c r="G69" s="44"/>
      <c r="H69" s="37"/>
      <c r="I69" s="38"/>
      <c r="J69" s="38"/>
      <c r="K69" s="35"/>
    </row>
    <row r="70" spans="1:11" ht="12.75">
      <c r="A70" s="108" t="s">
        <v>130</v>
      </c>
      <c r="B70" s="108"/>
      <c r="C70" s="108"/>
      <c r="D70" s="108"/>
      <c r="E70" s="108"/>
      <c r="F70" s="108"/>
      <c r="G70" s="44"/>
      <c r="H70" s="37"/>
      <c r="I70" s="38"/>
      <c r="J70" s="38"/>
      <c r="K70" s="35"/>
    </row>
    <row r="71" spans="1:11" ht="12.75">
      <c r="A71" s="108" t="s">
        <v>131</v>
      </c>
      <c r="B71" s="108"/>
      <c r="C71" s="108"/>
      <c r="D71" s="108"/>
      <c r="E71" s="108"/>
      <c r="F71" s="108"/>
      <c r="G71" s="108"/>
      <c r="H71" s="37"/>
      <c r="I71" s="38"/>
      <c r="J71" s="38"/>
      <c r="K71" s="35"/>
    </row>
    <row r="72" spans="1:11" ht="12.75">
      <c r="A72" s="108" t="s">
        <v>132</v>
      </c>
      <c r="B72" s="108"/>
      <c r="C72" s="108"/>
      <c r="D72" s="108"/>
      <c r="E72" s="109"/>
      <c r="F72" s="109"/>
      <c r="G72" s="109"/>
      <c r="H72" s="37"/>
      <c r="I72" s="38"/>
      <c r="J72" s="38"/>
      <c r="K72" s="35"/>
    </row>
    <row r="73" spans="1:11" ht="12.75">
      <c r="A73" s="108" t="s">
        <v>133</v>
      </c>
      <c r="B73" s="108"/>
      <c r="C73" s="108"/>
      <c r="D73" s="108"/>
      <c r="E73" s="108"/>
      <c r="F73" s="44"/>
      <c r="G73" s="44"/>
      <c r="H73" s="37"/>
      <c r="I73" s="38"/>
      <c r="J73" s="38"/>
      <c r="K73" s="35"/>
    </row>
    <row r="74" spans="1:11" ht="12.75">
      <c r="A74" s="44" t="s">
        <v>134</v>
      </c>
      <c r="B74" s="44"/>
      <c r="C74" s="44"/>
      <c r="D74" s="44"/>
      <c r="E74" s="44"/>
      <c r="F74" s="44"/>
      <c r="G74" s="44"/>
      <c r="H74" s="37"/>
      <c r="I74" s="38"/>
      <c r="J74" s="38"/>
      <c r="K74" s="35"/>
    </row>
    <row r="75" spans="1:11" ht="12.75">
      <c r="A75" s="22"/>
      <c r="B75" s="22"/>
      <c r="C75" s="22"/>
      <c r="D75" s="22"/>
      <c r="E75" s="22"/>
      <c r="F75" s="22"/>
      <c r="G75" s="22"/>
      <c r="H75" s="28"/>
      <c r="I75" s="22"/>
      <c r="J75" s="22"/>
      <c r="K75" s="29"/>
    </row>
    <row r="76" spans="1:13" ht="15.75">
      <c r="A76" s="20" t="s">
        <v>135</v>
      </c>
      <c r="B76" s="20"/>
      <c r="C76" s="20"/>
      <c r="D76" s="20"/>
      <c r="E76" s="20"/>
      <c r="F76" s="51"/>
      <c r="G76" s="51"/>
      <c r="H76" s="52"/>
      <c r="I76" s="51"/>
      <c r="J76" s="51"/>
      <c r="K76" s="21">
        <f>0.0205*O20</f>
        <v>117.6905</v>
      </c>
      <c r="L76" s="72" t="e">
        <f>K76/309084*#REF!</f>
        <v>#REF!</v>
      </c>
      <c r="M76" s="72" t="e">
        <f>L76/309084*#REF!</f>
        <v>#REF!</v>
      </c>
    </row>
    <row r="77" spans="1:13" ht="15.75">
      <c r="A77" s="53"/>
      <c r="B77" s="54"/>
      <c r="C77" s="54"/>
      <c r="D77" s="54"/>
      <c r="E77" s="54"/>
      <c r="F77" s="53"/>
      <c r="G77" s="53"/>
      <c r="H77" s="55"/>
      <c r="I77" s="53"/>
      <c r="J77" s="53"/>
      <c r="K77" s="56"/>
      <c r="L77" s="72"/>
      <c r="M77" s="72"/>
    </row>
    <row r="78" spans="1:11" ht="15.75">
      <c r="A78" s="57" t="s">
        <v>136</v>
      </c>
      <c r="B78" s="57"/>
      <c r="C78" s="57"/>
      <c r="D78" s="58"/>
      <c r="E78" s="58"/>
      <c r="F78" s="58"/>
      <c r="G78" s="58"/>
      <c r="H78" s="59"/>
      <c r="I78" s="58"/>
      <c r="J78" s="58"/>
      <c r="K78" s="60">
        <f>K15*6%</f>
        <v>3082.697076747417</v>
      </c>
    </row>
    <row r="79" spans="1:11" ht="15">
      <c r="A79" s="58"/>
      <c r="B79" s="61"/>
      <c r="C79" s="61"/>
      <c r="D79" s="61"/>
      <c r="E79" s="61"/>
      <c r="F79" s="61"/>
      <c r="G79" s="61"/>
      <c r="H79" s="62"/>
      <c r="I79" s="58"/>
      <c r="J79" s="58"/>
      <c r="K79" s="58"/>
    </row>
    <row r="80" spans="1:11" ht="15.75">
      <c r="A80" s="63" t="s">
        <v>137</v>
      </c>
      <c r="B80" s="63"/>
      <c r="C80" s="63"/>
      <c r="D80" s="63"/>
      <c r="E80" s="63"/>
      <c r="F80" s="63"/>
      <c r="G80" s="63"/>
      <c r="H80" s="63"/>
      <c r="I80" s="63"/>
      <c r="J80" s="63"/>
      <c r="K80" s="64">
        <f>K78+K15</f>
        <v>54460.981689204375</v>
      </c>
    </row>
    <row r="81" spans="1:11" ht="15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4"/>
    </row>
    <row r="82" spans="1:11" ht="15.75">
      <c r="A82" s="63" t="s">
        <v>138</v>
      </c>
      <c r="B82" s="63"/>
      <c r="C82" s="63"/>
      <c r="D82" s="63"/>
      <c r="E82" s="63"/>
      <c r="F82" s="63"/>
      <c r="G82" s="63"/>
      <c r="H82" s="63"/>
      <c r="I82" s="63"/>
      <c r="J82" s="63"/>
      <c r="K82" s="64">
        <f>K80/O20</f>
        <v>9.486323234489527</v>
      </c>
    </row>
    <row r="83" spans="1:11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0" spans="7:11" ht="12.75">
      <c r="G90" s="123"/>
      <c r="H90" s="123"/>
      <c r="I90" s="123"/>
      <c r="J90" s="123"/>
      <c r="K90" s="123"/>
    </row>
    <row r="91" spans="7:11" ht="12.75">
      <c r="G91" s="123"/>
      <c r="H91" s="123"/>
      <c r="I91" s="123"/>
      <c r="J91" s="123"/>
      <c r="K91" s="123"/>
    </row>
    <row r="92" spans="7:11" ht="12.75">
      <c r="G92" s="123"/>
      <c r="H92" s="123"/>
      <c r="I92" s="123"/>
      <c r="J92" s="123"/>
      <c r="K92" s="123"/>
    </row>
    <row r="93" spans="7:11" ht="12.75">
      <c r="G93" s="123"/>
      <c r="H93" s="123"/>
      <c r="I93" s="123"/>
      <c r="J93" s="123"/>
      <c r="K93" s="123"/>
    </row>
    <row r="94" spans="7:11" ht="12.75">
      <c r="G94" s="123"/>
      <c r="H94" s="123"/>
      <c r="I94" s="123"/>
      <c r="J94" s="123"/>
      <c r="K94" s="123"/>
    </row>
    <row r="100" spans="3:9" s="65" customFormat="1" ht="15.75">
      <c r="C100" s="106" t="s">
        <v>139</v>
      </c>
      <c r="D100" s="107"/>
      <c r="E100" s="107"/>
      <c r="F100" s="107"/>
      <c r="G100" s="107"/>
      <c r="H100" s="107"/>
      <c r="I100" s="107"/>
    </row>
    <row r="101" spans="3:9" s="65" customFormat="1" ht="15.75">
      <c r="C101" s="74" t="s">
        <v>140</v>
      </c>
      <c r="D101" s="74" t="s">
        <v>141</v>
      </c>
      <c r="E101" s="74"/>
      <c r="F101" s="74"/>
      <c r="G101" s="75"/>
      <c r="H101" s="75"/>
      <c r="I101" s="75"/>
    </row>
    <row r="102" s="65" customFormat="1" ht="12.75"/>
    <row r="103" spans="5:8" s="65" customFormat="1" ht="12.75">
      <c r="E103" s="65" t="s">
        <v>142</v>
      </c>
      <c r="H103" s="65" t="e">
        <f>#REF!</f>
        <v>#REF!</v>
      </c>
    </row>
    <row r="104" spans="5:8" s="65" customFormat="1" ht="12.75">
      <c r="E104" s="65" t="s">
        <v>143</v>
      </c>
      <c r="H104" s="65" t="e">
        <f>#REF!</f>
        <v>#REF!</v>
      </c>
    </row>
    <row r="105" spans="5:8" s="65" customFormat="1" ht="12.75">
      <c r="E105" s="65" t="s">
        <v>144</v>
      </c>
      <c r="H105" s="65" t="e">
        <f>#REF!</f>
        <v>#REF!</v>
      </c>
    </row>
    <row r="106" spans="5:8" s="65" customFormat="1" ht="12.75">
      <c r="E106" s="65" t="s">
        <v>145</v>
      </c>
      <c r="H106" s="65">
        <f>O21</f>
        <v>279</v>
      </c>
    </row>
    <row r="107" spans="5:8" s="65" customFormat="1" ht="12.75">
      <c r="E107" s="65" t="s">
        <v>146</v>
      </c>
      <c r="H107" s="65" t="e">
        <f>#REF!</f>
        <v>#REF!</v>
      </c>
    </row>
    <row r="108" s="65" customFormat="1" ht="12.75"/>
    <row r="109" spans="1:11" s="65" customFormat="1" ht="15.75">
      <c r="A109" s="105" t="s">
        <v>72</v>
      </c>
      <c r="B109" s="105"/>
      <c r="C109" s="105"/>
      <c r="D109" s="105"/>
      <c r="E109" s="105"/>
      <c r="F109" s="105"/>
      <c r="G109" s="105"/>
      <c r="H109" s="76" t="e">
        <f>H111+H113+H115+H117+H119+H121+H123</f>
        <v>#REF!</v>
      </c>
      <c r="I109" s="77" t="s">
        <v>70</v>
      </c>
      <c r="K109" s="78" t="e">
        <f>H109-20000</f>
        <v>#REF!</v>
      </c>
    </row>
    <row r="110" spans="1:7" s="65" customFormat="1" ht="12.75">
      <c r="A110" s="79"/>
      <c r="B110" s="79"/>
      <c r="C110" s="79"/>
      <c r="D110" s="79"/>
      <c r="E110" s="79"/>
      <c r="F110" s="79"/>
      <c r="G110" s="79"/>
    </row>
    <row r="111" spans="1:8" s="65" customFormat="1" ht="15.75">
      <c r="A111" s="80" t="s">
        <v>147</v>
      </c>
      <c r="B111" s="80"/>
      <c r="C111" s="80"/>
      <c r="D111" s="80"/>
      <c r="E111" s="80"/>
      <c r="F111" s="80"/>
      <c r="G111" s="80"/>
      <c r="H111" s="78">
        <f>K17</f>
        <v>9554.013807104682</v>
      </c>
    </row>
    <row r="112" spans="1:8" s="65" customFormat="1" ht="12.75">
      <c r="A112" s="79"/>
      <c r="B112" s="79"/>
      <c r="C112" s="79"/>
      <c r="D112" s="79"/>
      <c r="E112" s="79"/>
      <c r="F112" s="79"/>
      <c r="G112" s="79"/>
      <c r="H112" s="78"/>
    </row>
    <row r="113" spans="1:8" s="65" customFormat="1" ht="15.75">
      <c r="A113" s="105" t="s">
        <v>95</v>
      </c>
      <c r="B113" s="105"/>
      <c r="C113" s="105"/>
      <c r="D113" s="105"/>
      <c r="E113" s="105"/>
      <c r="F113" s="80"/>
      <c r="G113" s="80"/>
      <c r="H113" s="78">
        <f>K30</f>
        <v>10684.347194444445</v>
      </c>
    </row>
    <row r="114" spans="1:8" s="65" customFormat="1" ht="12.75">
      <c r="A114" s="79"/>
      <c r="B114" s="79"/>
      <c r="C114" s="79"/>
      <c r="D114" s="79"/>
      <c r="E114" s="79"/>
      <c r="F114" s="79"/>
      <c r="G114" s="79"/>
      <c r="H114" s="78"/>
    </row>
    <row r="115" spans="1:8" s="65" customFormat="1" ht="15.75">
      <c r="A115" s="105" t="s">
        <v>148</v>
      </c>
      <c r="B115" s="105"/>
      <c r="C115" s="105"/>
      <c r="D115" s="105"/>
      <c r="E115" s="105"/>
      <c r="F115" s="105"/>
      <c r="G115" s="105"/>
      <c r="H115" s="81" t="e">
        <f>#REF!</f>
        <v>#REF!</v>
      </c>
    </row>
    <row r="116" spans="1:8" s="65" customFormat="1" ht="12.75">
      <c r="A116" s="79"/>
      <c r="B116" s="79"/>
      <c r="C116" s="79"/>
      <c r="D116" s="79"/>
      <c r="E116" s="79"/>
      <c r="F116" s="79"/>
      <c r="G116" s="79"/>
      <c r="H116" s="82"/>
    </row>
    <row r="117" spans="1:8" s="65" customFormat="1" ht="15.75">
      <c r="A117" s="80" t="s">
        <v>111</v>
      </c>
      <c r="B117" s="80"/>
      <c r="C117" s="80"/>
      <c r="D117" s="80"/>
      <c r="E117" s="80"/>
      <c r="F117" s="80"/>
      <c r="G117" s="80"/>
      <c r="H117" s="82" t="e">
        <f>M46</f>
        <v>#REF!</v>
      </c>
    </row>
    <row r="118" spans="1:8" s="65" customFormat="1" ht="12.75">
      <c r="A118" s="79"/>
      <c r="B118" s="79"/>
      <c r="C118" s="79"/>
      <c r="D118" s="79"/>
      <c r="E118" s="79"/>
      <c r="F118" s="79"/>
      <c r="G118" s="79"/>
      <c r="H118" s="82"/>
    </row>
    <row r="119" spans="1:8" s="65" customFormat="1" ht="15.75">
      <c r="A119" s="105" t="s">
        <v>149</v>
      </c>
      <c r="B119" s="105"/>
      <c r="C119" s="105"/>
      <c r="D119" s="105"/>
      <c r="E119" s="80"/>
      <c r="F119" s="80"/>
      <c r="G119" s="80"/>
      <c r="H119" s="81" t="e">
        <f>M59</f>
        <v>#REF!</v>
      </c>
    </row>
    <row r="120" spans="1:8" s="65" customFormat="1" ht="12.75">
      <c r="A120" s="79"/>
      <c r="B120" s="79"/>
      <c r="C120" s="79"/>
      <c r="D120" s="79"/>
      <c r="E120" s="79"/>
      <c r="F120" s="79"/>
      <c r="G120" s="79"/>
      <c r="H120" s="82"/>
    </row>
    <row r="121" spans="1:8" s="65" customFormat="1" ht="15.75">
      <c r="A121" s="83" t="s">
        <v>127</v>
      </c>
      <c r="B121" s="83"/>
      <c r="C121" s="83"/>
      <c r="D121" s="83"/>
      <c r="E121" s="83"/>
      <c r="F121" s="83"/>
      <c r="G121" s="83"/>
      <c r="H121" s="81" t="e">
        <f>M66</f>
        <v>#REF!</v>
      </c>
    </row>
    <row r="122" spans="1:8" s="65" customFormat="1" ht="12.75">
      <c r="A122" s="79"/>
      <c r="B122" s="79"/>
      <c r="C122" s="79"/>
      <c r="D122" s="79"/>
      <c r="E122" s="79"/>
      <c r="F122" s="79"/>
      <c r="G122" s="79"/>
      <c r="H122" s="82"/>
    </row>
    <row r="123" spans="1:8" s="65" customFormat="1" ht="15.75">
      <c r="A123" s="80" t="s">
        <v>150</v>
      </c>
      <c r="B123" s="80"/>
      <c r="C123" s="80"/>
      <c r="D123" s="80"/>
      <c r="E123" s="80"/>
      <c r="F123" s="84"/>
      <c r="G123" s="84"/>
      <c r="H123" s="81" t="e">
        <f>L76</f>
        <v>#REF!</v>
      </c>
    </row>
    <row r="124" s="65" customFormat="1" ht="12.75"/>
    <row r="125" s="65" customFormat="1" ht="12.75"/>
    <row r="126" s="65" customFormat="1" ht="12.75">
      <c r="H126" s="65" t="s">
        <v>151</v>
      </c>
    </row>
    <row r="127" s="65" customFormat="1" ht="12.75">
      <c r="H127" s="65" t="s">
        <v>146</v>
      </c>
    </row>
    <row r="128" s="65" customFormat="1" ht="12.75">
      <c r="H128" s="65" t="s">
        <v>152</v>
      </c>
    </row>
    <row r="129" s="65" customFormat="1" ht="12.75"/>
    <row r="130" s="65" customFormat="1" ht="12.75"/>
    <row r="131" s="65" customFormat="1" ht="12.75">
      <c r="F131" s="65" t="s">
        <v>153</v>
      </c>
    </row>
    <row r="132" s="65" customFormat="1" ht="12.75">
      <c r="D132" s="65" t="s">
        <v>154</v>
      </c>
    </row>
    <row r="133" s="65" customFormat="1" ht="12.75">
      <c r="D133" s="65" t="s">
        <v>155</v>
      </c>
    </row>
    <row r="134" spans="6:13" s="65" customFormat="1" ht="12.75">
      <c r="F134" s="65" t="s">
        <v>156</v>
      </c>
      <c r="M134" s="65" t="s">
        <v>157</v>
      </c>
    </row>
    <row r="135" s="65" customFormat="1" ht="12.75">
      <c r="M135" s="65" t="s">
        <v>158</v>
      </c>
    </row>
    <row r="136" spans="1:13" s="65" customFormat="1" ht="12.75">
      <c r="A136" s="65" t="s">
        <v>159</v>
      </c>
      <c r="B136" s="65" t="s">
        <v>160</v>
      </c>
      <c r="D136" s="65" t="s">
        <v>161</v>
      </c>
      <c r="F136" s="65" t="s">
        <v>162</v>
      </c>
      <c r="G136" s="65" t="s">
        <v>163</v>
      </c>
      <c r="H136" s="65" t="s">
        <v>164</v>
      </c>
      <c r="J136" s="65" t="s">
        <v>165</v>
      </c>
      <c r="M136" s="73" t="s">
        <v>166</v>
      </c>
    </row>
    <row r="137" spans="1:14" s="65" customFormat="1" ht="12.75">
      <c r="A137" s="65" t="s">
        <v>167</v>
      </c>
      <c r="B137" s="65" t="s">
        <v>168</v>
      </c>
      <c r="D137" s="65" t="s">
        <v>169</v>
      </c>
      <c r="F137" s="65" t="s">
        <v>170</v>
      </c>
      <c r="G137" s="65" t="s">
        <v>171</v>
      </c>
      <c r="H137" s="65" t="s">
        <v>172</v>
      </c>
      <c r="J137" s="65" t="s">
        <v>173</v>
      </c>
      <c r="M137" s="65" t="s">
        <v>174</v>
      </c>
      <c r="N137" s="65">
        <v>6098.4</v>
      </c>
    </row>
    <row r="138" spans="8:9" s="65" customFormat="1" ht="12.75">
      <c r="H138" s="65" t="s">
        <v>175</v>
      </c>
      <c r="I138" s="65" t="s">
        <v>176</v>
      </c>
    </row>
    <row r="139" spans="8:13" s="65" customFormat="1" ht="12.75">
      <c r="H139" s="65" t="s">
        <v>170</v>
      </c>
      <c r="I139" s="65" t="s">
        <v>177</v>
      </c>
      <c r="M139" s="65" t="s">
        <v>178</v>
      </c>
    </row>
    <row r="140" spans="9:13" s="65" customFormat="1" ht="12.75">
      <c r="I140" s="65" t="s">
        <v>179</v>
      </c>
      <c r="M140" s="65" t="s">
        <v>158</v>
      </c>
    </row>
    <row r="141" s="65" customFormat="1" ht="12.75">
      <c r="M141" s="73" t="s">
        <v>166</v>
      </c>
    </row>
    <row r="142" spans="1:14" s="65" customFormat="1" ht="12.75">
      <c r="A142" s="65" t="s">
        <v>180</v>
      </c>
      <c r="B142" s="65" t="s">
        <v>181</v>
      </c>
      <c r="D142" s="65" t="s">
        <v>182</v>
      </c>
      <c r="M142" s="65" t="s">
        <v>174</v>
      </c>
      <c r="N142" s="65">
        <v>1460.2</v>
      </c>
    </row>
    <row r="143" spans="2:4" s="65" customFormat="1" ht="12.75">
      <c r="B143" s="65" t="s">
        <v>183</v>
      </c>
      <c r="D143" s="65" t="s">
        <v>184</v>
      </c>
    </row>
    <row r="144" spans="2:13" s="65" customFormat="1" ht="12.75">
      <c r="B144" s="65" t="s">
        <v>185</v>
      </c>
      <c r="D144" s="65" t="s">
        <v>186</v>
      </c>
      <c r="M144" s="65" t="s">
        <v>187</v>
      </c>
    </row>
    <row r="145" spans="2:13" s="65" customFormat="1" ht="12.75">
      <c r="B145" s="65" t="s">
        <v>188</v>
      </c>
      <c r="D145" s="65" t="s">
        <v>189</v>
      </c>
      <c r="M145" s="65" t="s">
        <v>158</v>
      </c>
    </row>
    <row r="146" spans="2:13" s="65" customFormat="1" ht="12.75">
      <c r="B146" s="65" t="s">
        <v>190</v>
      </c>
      <c r="M146" s="73" t="s">
        <v>166</v>
      </c>
    </row>
    <row r="147" spans="4:14" s="65" customFormat="1" ht="12.75">
      <c r="D147" s="65" t="s">
        <v>191</v>
      </c>
      <c r="M147" s="65" t="s">
        <v>174</v>
      </c>
      <c r="N147" s="65">
        <v>1168.2</v>
      </c>
    </row>
    <row r="148" spans="4:6" s="65" customFormat="1" ht="12.75">
      <c r="D148" s="65" t="s">
        <v>192</v>
      </c>
      <c r="F148" s="65" t="s">
        <v>193</v>
      </c>
    </row>
    <row r="149" spans="4:13" s="65" customFormat="1" ht="12.75">
      <c r="D149" s="65" t="s">
        <v>158</v>
      </c>
      <c r="F149" s="65" t="s">
        <v>194</v>
      </c>
      <c r="H149" s="65">
        <v>0.0687</v>
      </c>
      <c r="I149" s="65">
        <v>0</v>
      </c>
      <c r="K149" s="65">
        <f>N140/1000*H149</f>
        <v>0</v>
      </c>
      <c r="M149" s="65" t="s">
        <v>195</v>
      </c>
    </row>
    <row r="150" spans="4:13" s="65" customFormat="1" ht="12.75">
      <c r="D150" s="65" t="s">
        <v>196</v>
      </c>
      <c r="F150" s="65" t="s">
        <v>197</v>
      </c>
      <c r="H150" s="65">
        <v>0.0763</v>
      </c>
      <c r="I150" s="65">
        <v>0</v>
      </c>
      <c r="K150" s="65">
        <f>N141/1000*H150</f>
        <v>0</v>
      </c>
      <c r="M150" s="65" t="s">
        <v>158</v>
      </c>
    </row>
    <row r="151" spans="4:13" s="65" customFormat="1" ht="12.75">
      <c r="D151" s="65" t="s">
        <v>198</v>
      </c>
      <c r="F151" s="65" t="s">
        <v>199</v>
      </c>
      <c r="H151" s="65">
        <v>0.0839</v>
      </c>
      <c r="I151" s="65">
        <v>0</v>
      </c>
      <c r="K151" s="69">
        <f>N142/1000*H151</f>
        <v>0.12251078</v>
      </c>
      <c r="M151" s="73" t="s">
        <v>166</v>
      </c>
    </row>
    <row r="152" spans="6:13" s="65" customFormat="1" ht="12.75">
      <c r="F152" s="65" t="s">
        <v>200</v>
      </c>
      <c r="M152" s="65" t="s">
        <v>174</v>
      </c>
    </row>
    <row r="153" s="65" customFormat="1" ht="12.75">
      <c r="F153" s="65" t="s">
        <v>190</v>
      </c>
    </row>
    <row r="154" spans="5:9" s="65" customFormat="1" ht="12.75">
      <c r="E154" s="65" t="s">
        <v>201</v>
      </c>
      <c r="I154" s="65">
        <v>0</v>
      </c>
    </row>
    <row r="155" spans="2:4" s="65" customFormat="1" ht="12.75">
      <c r="B155" s="65" t="s">
        <v>202</v>
      </c>
      <c r="D155" s="65" t="s">
        <v>203</v>
      </c>
    </row>
    <row r="156" s="65" customFormat="1" ht="12.75">
      <c r="D156" s="65" t="s">
        <v>204</v>
      </c>
    </row>
    <row r="157" s="65" customFormat="1" ht="12.75">
      <c r="D157" s="65" t="s">
        <v>205</v>
      </c>
    </row>
    <row r="158" s="65" customFormat="1" ht="12.75">
      <c r="D158" s="65" t="s">
        <v>191</v>
      </c>
    </row>
    <row r="159" spans="4:11" s="65" customFormat="1" ht="12.75">
      <c r="D159" s="65" t="s">
        <v>158</v>
      </c>
      <c r="H159" s="65">
        <v>0.00338</v>
      </c>
      <c r="K159" s="69">
        <f>N163/1000*H159</f>
        <v>0</v>
      </c>
    </row>
    <row r="160" spans="4:11" s="65" customFormat="1" ht="12.75">
      <c r="D160" s="65" t="s">
        <v>196</v>
      </c>
      <c r="H160" s="65">
        <v>0.00376</v>
      </c>
      <c r="K160" s="69">
        <f>N164/1000*H160</f>
        <v>0</v>
      </c>
    </row>
    <row r="161" spans="4:11" s="65" customFormat="1" ht="12.75">
      <c r="D161" s="65" t="s">
        <v>198</v>
      </c>
      <c r="H161" s="65">
        <v>0.00414</v>
      </c>
      <c r="K161" s="69">
        <f>N165/1000*H161</f>
        <v>0.025247375999999995</v>
      </c>
    </row>
    <row r="162" s="65" customFormat="1" ht="12.75">
      <c r="M162" s="65" t="s">
        <v>206</v>
      </c>
    </row>
    <row r="163" spans="1:13" s="65" customFormat="1" ht="12.75">
      <c r="A163" s="65" t="s">
        <v>207</v>
      </c>
      <c r="B163" s="65" t="s">
        <v>208</v>
      </c>
      <c r="D163" s="65" t="s">
        <v>203</v>
      </c>
      <c r="M163" s="65" t="s">
        <v>158</v>
      </c>
    </row>
    <row r="164" spans="4:13" s="65" customFormat="1" ht="12.75">
      <c r="D164" s="65" t="s">
        <v>209</v>
      </c>
      <c r="M164" s="73" t="s">
        <v>166</v>
      </c>
    </row>
    <row r="165" spans="4:14" s="65" customFormat="1" ht="12.75">
      <c r="D165" s="65" t="s">
        <v>191</v>
      </c>
      <c r="M165" s="65" t="s">
        <v>174</v>
      </c>
      <c r="N165" s="65">
        <f>N137</f>
        <v>6098.4</v>
      </c>
    </row>
    <row r="166" spans="4:11" s="65" customFormat="1" ht="12.75">
      <c r="D166" s="65" t="s">
        <v>158</v>
      </c>
      <c r="H166" s="65">
        <v>0.02043</v>
      </c>
      <c r="I166" s="65">
        <v>0</v>
      </c>
      <c r="K166" s="65">
        <f>N150/1000*H166</f>
        <v>0</v>
      </c>
    </row>
    <row r="167" spans="4:13" s="65" customFormat="1" ht="12.75">
      <c r="D167" s="65" t="s">
        <v>196</v>
      </c>
      <c r="H167" s="65">
        <v>0.0227</v>
      </c>
      <c r="I167" s="65">
        <v>0</v>
      </c>
      <c r="K167" s="65">
        <f>N151/1000*H167</f>
        <v>0</v>
      </c>
      <c r="M167" s="65" t="s">
        <v>210</v>
      </c>
    </row>
    <row r="168" spans="4:13" s="65" customFormat="1" ht="12.75">
      <c r="D168" s="65" t="s">
        <v>198</v>
      </c>
      <c r="H168" s="65">
        <v>0.02497</v>
      </c>
      <c r="I168" s="65">
        <v>0</v>
      </c>
      <c r="K168" s="65">
        <f>N152/1000*H168</f>
        <v>0</v>
      </c>
      <c r="M168" s="65" t="s">
        <v>158</v>
      </c>
    </row>
    <row r="169" spans="4:13" s="65" customFormat="1" ht="12.75">
      <c r="D169" s="65" t="s">
        <v>211</v>
      </c>
      <c r="M169" s="73" t="s">
        <v>166</v>
      </c>
    </row>
    <row r="170" spans="4:14" s="65" customFormat="1" ht="12.75">
      <c r="D170" s="65" t="s">
        <v>191</v>
      </c>
      <c r="M170" s="65" t="s">
        <v>174</v>
      </c>
      <c r="N170" s="65">
        <v>119</v>
      </c>
    </row>
    <row r="171" spans="4:6" s="65" customFormat="1" ht="12.75">
      <c r="D171" s="65" t="s">
        <v>192</v>
      </c>
      <c r="F171" s="65" t="s">
        <v>193</v>
      </c>
    </row>
    <row r="172" spans="4:11" s="65" customFormat="1" ht="12.75">
      <c r="D172" s="65" t="s">
        <v>158</v>
      </c>
      <c r="H172" s="65">
        <v>0.00999</v>
      </c>
      <c r="K172" s="69">
        <f>N135/1000*H172</f>
        <v>0</v>
      </c>
    </row>
    <row r="173" spans="4:11" s="65" customFormat="1" ht="12.75">
      <c r="D173" s="65" t="s">
        <v>196</v>
      </c>
      <c r="H173" s="65">
        <v>0.0111</v>
      </c>
      <c r="K173" s="69">
        <f>N136/1000*H173</f>
        <v>0</v>
      </c>
    </row>
    <row r="174" spans="4:11" s="65" customFormat="1" ht="12.75">
      <c r="D174" s="65" t="s">
        <v>198</v>
      </c>
      <c r="H174" s="65">
        <v>0.01221</v>
      </c>
      <c r="I174" s="65">
        <v>0</v>
      </c>
      <c r="K174" s="69">
        <f>N137/1000*H174</f>
        <v>0.074461464</v>
      </c>
    </row>
    <row r="175" s="65" customFormat="1" ht="12.75">
      <c r="I175" s="65">
        <v>0</v>
      </c>
    </row>
    <row r="176" spans="5:9" s="65" customFormat="1" ht="12.75">
      <c r="E176" s="65" t="s">
        <v>201</v>
      </c>
      <c r="G176" s="65">
        <v>0</v>
      </c>
      <c r="I176" s="65">
        <v>0</v>
      </c>
    </row>
    <row r="177" spans="1:6" s="65" customFormat="1" ht="12.75">
      <c r="A177" s="65" t="s">
        <v>212</v>
      </c>
      <c r="B177" s="65" t="s">
        <v>213</v>
      </c>
      <c r="D177" s="65" t="s">
        <v>203</v>
      </c>
      <c r="F177" s="65" t="s">
        <v>193</v>
      </c>
    </row>
    <row r="178" spans="2:6" s="65" customFormat="1" ht="12.75">
      <c r="B178" s="65" t="s">
        <v>214</v>
      </c>
      <c r="D178" s="65" t="s">
        <v>209</v>
      </c>
      <c r="F178" s="65" t="s">
        <v>215</v>
      </c>
    </row>
    <row r="179" spans="4:6" s="65" customFormat="1" ht="12.75">
      <c r="D179" s="65" t="s">
        <v>191</v>
      </c>
      <c r="F179" s="65" t="s">
        <v>216</v>
      </c>
    </row>
    <row r="180" spans="4:11" s="65" customFormat="1" ht="12.75">
      <c r="D180" s="65" t="s">
        <v>158</v>
      </c>
      <c r="H180" s="65">
        <v>0.018432</v>
      </c>
      <c r="I180" s="65">
        <v>0</v>
      </c>
      <c r="K180" s="65">
        <f>N150/1000*H180</f>
        <v>0</v>
      </c>
    </row>
    <row r="181" spans="4:11" s="65" customFormat="1" ht="12.75">
      <c r="D181" s="65" t="s">
        <v>196</v>
      </c>
      <c r="H181" s="65">
        <v>0.02048</v>
      </c>
      <c r="I181" s="65">
        <v>0</v>
      </c>
      <c r="K181" s="65">
        <f>N151/1000*H181</f>
        <v>0</v>
      </c>
    </row>
    <row r="182" spans="4:11" s="65" customFormat="1" ht="12.75">
      <c r="D182" s="65" t="s">
        <v>198</v>
      </c>
      <c r="K182" s="65">
        <f>N152/1000*H182</f>
        <v>0</v>
      </c>
    </row>
    <row r="183" s="65" customFormat="1" ht="12.75">
      <c r="D183" s="65" t="s">
        <v>211</v>
      </c>
    </row>
    <row r="184" s="65" customFormat="1" ht="12.75">
      <c r="D184" s="65" t="s">
        <v>191</v>
      </c>
    </row>
    <row r="185" s="65" customFormat="1" ht="12.75">
      <c r="D185" s="65" t="s">
        <v>192</v>
      </c>
    </row>
    <row r="186" spans="4:11" s="65" customFormat="1" ht="12.75">
      <c r="D186" s="65" t="s">
        <v>158</v>
      </c>
      <c r="K186" s="69">
        <f>N135/1000*H186</f>
        <v>0</v>
      </c>
    </row>
    <row r="187" spans="4:11" s="65" customFormat="1" ht="12.75">
      <c r="D187" s="65" t="s">
        <v>196</v>
      </c>
      <c r="H187" s="65">
        <v>0.02295</v>
      </c>
      <c r="I187" s="65">
        <v>0</v>
      </c>
      <c r="K187" s="69">
        <f>N136/1000*H187</f>
        <v>0</v>
      </c>
    </row>
    <row r="188" spans="4:11" s="65" customFormat="1" ht="12.75">
      <c r="D188" s="65" t="s">
        <v>198</v>
      </c>
      <c r="H188" s="65">
        <v>0.025245</v>
      </c>
      <c r="I188" s="65">
        <v>0</v>
      </c>
      <c r="K188" s="69">
        <f>N137/1000*H188</f>
        <v>0.153954108</v>
      </c>
    </row>
    <row r="189" spans="5:11" s="65" customFormat="1" ht="12.75">
      <c r="E189" s="65" t="s">
        <v>201</v>
      </c>
      <c r="G189" s="65">
        <v>0</v>
      </c>
      <c r="I189" s="65">
        <v>0</v>
      </c>
      <c r="K189" s="69"/>
    </row>
    <row r="190" s="65" customFormat="1" ht="12.75">
      <c r="K190" s="69"/>
    </row>
    <row r="191" spans="1:11" s="65" customFormat="1" ht="12.75">
      <c r="A191" s="65" t="s">
        <v>217</v>
      </c>
      <c r="B191" s="65" t="s">
        <v>218</v>
      </c>
      <c r="D191" s="65" t="s">
        <v>203</v>
      </c>
      <c r="K191" s="69"/>
    </row>
    <row r="192" spans="4:11" s="65" customFormat="1" ht="12.75">
      <c r="D192" s="65" t="s">
        <v>209</v>
      </c>
      <c r="K192" s="69"/>
    </row>
    <row r="193" spans="4:11" s="65" customFormat="1" ht="12.75">
      <c r="D193" s="65" t="s">
        <v>191</v>
      </c>
      <c r="K193" s="69"/>
    </row>
    <row r="194" spans="4:11" s="65" customFormat="1" ht="12.75">
      <c r="D194" s="65" t="s">
        <v>158</v>
      </c>
      <c r="H194" s="65">
        <v>0.027585</v>
      </c>
      <c r="I194" s="65">
        <v>0</v>
      </c>
      <c r="K194" s="69">
        <f>N150/1000*H194</f>
        <v>0</v>
      </c>
    </row>
    <row r="195" spans="4:11" s="65" customFormat="1" ht="12.75">
      <c r="D195" s="65" t="s">
        <v>196</v>
      </c>
      <c r="H195" s="65">
        <v>0.3065</v>
      </c>
      <c r="I195" s="65">
        <v>0</v>
      </c>
      <c r="K195" s="69">
        <f>N151/1000*H195</f>
        <v>0</v>
      </c>
    </row>
    <row r="196" spans="4:11" s="65" customFormat="1" ht="12.75">
      <c r="D196" s="65" t="s">
        <v>198</v>
      </c>
      <c r="K196" s="69">
        <f>N152/1000*H196</f>
        <v>0</v>
      </c>
    </row>
    <row r="197" spans="4:11" s="65" customFormat="1" ht="12.75">
      <c r="D197" s="65" t="s">
        <v>211</v>
      </c>
      <c r="K197" s="69"/>
    </row>
    <row r="198" spans="4:11" s="65" customFormat="1" ht="12.75">
      <c r="D198" s="65" t="s">
        <v>191</v>
      </c>
      <c r="K198" s="69"/>
    </row>
    <row r="199" spans="4:11" s="65" customFormat="1" ht="12.75">
      <c r="D199" s="65" t="s">
        <v>192</v>
      </c>
      <c r="K199" s="69"/>
    </row>
    <row r="200" spans="4:11" s="65" customFormat="1" ht="12.75">
      <c r="D200" s="65" t="s">
        <v>158</v>
      </c>
      <c r="K200" s="69">
        <f>N135/1000*H200</f>
        <v>0</v>
      </c>
    </row>
    <row r="201" spans="4:11" s="65" customFormat="1" ht="12.75">
      <c r="D201" s="65" t="s">
        <v>196</v>
      </c>
      <c r="H201" s="65">
        <v>0.00539</v>
      </c>
      <c r="I201" s="65">
        <v>0</v>
      </c>
      <c r="K201" s="69">
        <f>N136/1000*H201</f>
        <v>0</v>
      </c>
    </row>
    <row r="202" spans="4:11" s="65" customFormat="1" ht="12.75">
      <c r="D202" s="65" t="s">
        <v>198</v>
      </c>
      <c r="H202" s="65">
        <v>0.005929</v>
      </c>
      <c r="I202" s="65">
        <v>0</v>
      </c>
      <c r="K202" s="69">
        <f>N137/1000*H202</f>
        <v>0.0361574136</v>
      </c>
    </row>
    <row r="203" spans="5:11" s="65" customFormat="1" ht="12.75">
      <c r="E203" s="65" t="s">
        <v>201</v>
      </c>
      <c r="G203" s="65">
        <v>0</v>
      </c>
      <c r="I203" s="65">
        <v>0</v>
      </c>
      <c r="K203" s="69"/>
    </row>
    <row r="204" s="65" customFormat="1" ht="12.75">
      <c r="K204" s="69"/>
    </row>
    <row r="205" spans="1:11" s="65" customFormat="1" ht="12.75">
      <c r="A205" s="65" t="s">
        <v>219</v>
      </c>
      <c r="B205" s="65" t="s">
        <v>220</v>
      </c>
      <c r="D205" s="65" t="s">
        <v>203</v>
      </c>
      <c r="K205" s="69"/>
    </row>
    <row r="206" spans="2:11" s="65" customFormat="1" ht="12.75">
      <c r="B206" s="65" t="s">
        <v>214</v>
      </c>
      <c r="D206" s="65" t="s">
        <v>209</v>
      </c>
      <c r="K206" s="69"/>
    </row>
    <row r="207" spans="4:11" s="65" customFormat="1" ht="12.75">
      <c r="D207" s="65" t="s">
        <v>191</v>
      </c>
      <c r="K207" s="69"/>
    </row>
    <row r="208" spans="4:11" s="65" customFormat="1" ht="12.75">
      <c r="D208" s="65" t="s">
        <v>158</v>
      </c>
      <c r="H208" s="65">
        <v>0.022437</v>
      </c>
      <c r="I208" s="65">
        <v>0</v>
      </c>
      <c r="K208" s="69">
        <f>N150/1000*H208</f>
        <v>0</v>
      </c>
    </row>
    <row r="209" spans="4:11" s="65" customFormat="1" ht="12.75">
      <c r="D209" s="65" t="s">
        <v>196</v>
      </c>
      <c r="H209" s="65">
        <v>0.02493</v>
      </c>
      <c r="I209" s="65">
        <v>0</v>
      </c>
      <c r="K209" s="69">
        <f>N151/1000*H209</f>
        <v>0</v>
      </c>
    </row>
    <row r="210" spans="4:11" s="65" customFormat="1" ht="12.75">
      <c r="D210" s="65" t="s">
        <v>198</v>
      </c>
      <c r="K210" s="65">
        <f>N152/1000*H210</f>
        <v>0</v>
      </c>
    </row>
    <row r="211" s="65" customFormat="1" ht="12.75">
      <c r="D211" s="65" t="s">
        <v>211</v>
      </c>
    </row>
    <row r="212" s="65" customFormat="1" ht="12.75">
      <c r="D212" s="65" t="s">
        <v>191</v>
      </c>
    </row>
    <row r="213" s="65" customFormat="1" ht="12.75">
      <c r="D213" s="65" t="s">
        <v>192</v>
      </c>
    </row>
    <row r="214" spans="4:11" s="65" customFormat="1" ht="12.75">
      <c r="D214" s="65" t="s">
        <v>158</v>
      </c>
      <c r="K214" s="69">
        <f>N135/1000*H214</f>
        <v>0</v>
      </c>
    </row>
    <row r="215" spans="4:11" s="65" customFormat="1" ht="12.75">
      <c r="D215" s="65" t="s">
        <v>196</v>
      </c>
      <c r="H215" s="65">
        <v>0.00888</v>
      </c>
      <c r="I215" s="65">
        <v>0</v>
      </c>
      <c r="K215" s="69">
        <f>N136/1000*H215</f>
        <v>0</v>
      </c>
    </row>
    <row r="216" spans="4:11" s="65" customFormat="1" ht="12.75">
      <c r="D216" s="65" t="s">
        <v>198</v>
      </c>
      <c r="H216" s="65">
        <v>0.009768</v>
      </c>
      <c r="I216" s="65">
        <v>0</v>
      </c>
      <c r="K216" s="69">
        <f>N137/1000*H216</f>
        <v>0.0595691712</v>
      </c>
    </row>
    <row r="217" spans="5:11" s="65" customFormat="1" ht="12.75">
      <c r="E217" s="65" t="s">
        <v>201</v>
      </c>
      <c r="G217" s="65">
        <v>0</v>
      </c>
      <c r="I217" s="65">
        <v>0</v>
      </c>
      <c r="K217" s="69"/>
    </row>
    <row r="218" s="65" customFormat="1" ht="12.75">
      <c r="K218" s="69"/>
    </row>
    <row r="219" spans="2:4" s="65" customFormat="1" ht="12.75">
      <c r="B219" s="65" t="s">
        <v>221</v>
      </c>
      <c r="D219" s="65" t="s">
        <v>203</v>
      </c>
    </row>
    <row r="220" s="65" customFormat="1" ht="12.75">
      <c r="D220" s="65" t="s">
        <v>204</v>
      </c>
    </row>
    <row r="221" s="65" customFormat="1" ht="12.75">
      <c r="D221" s="65" t="s">
        <v>205</v>
      </c>
    </row>
    <row r="222" s="65" customFormat="1" ht="12.75">
      <c r="D222" s="65" t="s">
        <v>191</v>
      </c>
    </row>
    <row r="223" spans="4:11" s="65" customFormat="1" ht="12.75">
      <c r="D223" s="65" t="s">
        <v>158</v>
      </c>
      <c r="H223" s="65">
        <v>0.0243</v>
      </c>
      <c r="K223" s="69">
        <f>N163/1000*H223</f>
        <v>0</v>
      </c>
    </row>
    <row r="224" spans="4:11" s="65" customFormat="1" ht="12.75">
      <c r="D224" s="65" t="s">
        <v>196</v>
      </c>
      <c r="H224" s="65">
        <v>0.027</v>
      </c>
      <c r="K224" s="69">
        <f>N164/1000*H224</f>
        <v>0</v>
      </c>
    </row>
    <row r="225" spans="4:11" s="65" customFormat="1" ht="12.75">
      <c r="D225" s="65" t="s">
        <v>198</v>
      </c>
      <c r="H225" s="65">
        <v>0.0297</v>
      </c>
      <c r="K225" s="69">
        <f>N165/1000*H225</f>
        <v>0.18112248</v>
      </c>
    </row>
    <row r="226" spans="1:11" s="65" customFormat="1" ht="12.75">
      <c r="A226" s="65" t="s">
        <v>222</v>
      </c>
      <c r="B226" s="65" t="s">
        <v>223</v>
      </c>
      <c r="D226" s="65" t="s">
        <v>203</v>
      </c>
      <c r="K226" s="69"/>
    </row>
    <row r="227" spans="4:11" s="65" customFormat="1" ht="12.75">
      <c r="D227" s="65" t="s">
        <v>209</v>
      </c>
      <c r="K227" s="69"/>
    </row>
    <row r="228" spans="4:11" s="65" customFormat="1" ht="12.75">
      <c r="D228" s="65" t="s">
        <v>191</v>
      </c>
      <c r="K228" s="69"/>
    </row>
    <row r="229" spans="4:11" s="65" customFormat="1" ht="12.75">
      <c r="D229" s="65" t="s">
        <v>158</v>
      </c>
      <c r="H229" s="65">
        <v>0.01773</v>
      </c>
      <c r="I229" s="65">
        <v>0</v>
      </c>
      <c r="K229" s="69">
        <f>N150/1000*H229</f>
        <v>0</v>
      </c>
    </row>
    <row r="230" spans="4:11" s="65" customFormat="1" ht="12.75">
      <c r="D230" s="65" t="s">
        <v>196</v>
      </c>
      <c r="H230" s="65">
        <v>0.0197</v>
      </c>
      <c r="I230" s="65">
        <v>0</v>
      </c>
      <c r="K230" s="69">
        <f>N151/1000*H230</f>
        <v>0</v>
      </c>
    </row>
    <row r="231" spans="4:11" s="65" customFormat="1" ht="12.75">
      <c r="D231" s="65" t="s">
        <v>198</v>
      </c>
      <c r="K231" s="69">
        <f>N152/1000*H231</f>
        <v>0</v>
      </c>
    </row>
    <row r="232" spans="4:11" s="65" customFormat="1" ht="12.75">
      <c r="D232" s="65" t="s">
        <v>211</v>
      </c>
      <c r="K232" s="69"/>
    </row>
    <row r="233" spans="4:11" s="65" customFormat="1" ht="12.75">
      <c r="D233" s="65" t="s">
        <v>191</v>
      </c>
      <c r="K233" s="69"/>
    </row>
    <row r="234" spans="4:11" s="65" customFormat="1" ht="12.75">
      <c r="D234" s="65" t="s">
        <v>192</v>
      </c>
      <c r="K234" s="69"/>
    </row>
    <row r="235" spans="4:11" s="65" customFormat="1" ht="12.75">
      <c r="D235" s="65" t="s">
        <v>158</v>
      </c>
      <c r="K235" s="69">
        <f>N135/1000*H235</f>
        <v>0</v>
      </c>
    </row>
    <row r="236" spans="4:11" s="65" customFormat="1" ht="12.75">
      <c r="D236" s="65" t="s">
        <v>196</v>
      </c>
      <c r="H236" s="65">
        <v>0.0018</v>
      </c>
      <c r="I236" s="65">
        <v>0</v>
      </c>
      <c r="K236" s="69">
        <f>N136/1000*H236</f>
        <v>0</v>
      </c>
    </row>
    <row r="237" spans="4:11" s="65" customFormat="1" ht="12.75">
      <c r="D237" s="65" t="s">
        <v>198</v>
      </c>
      <c r="H237" s="65">
        <v>0.00198</v>
      </c>
      <c r="I237" s="65">
        <v>0</v>
      </c>
      <c r="K237" s="69">
        <f>N137/1000*H237</f>
        <v>0.012074831999999999</v>
      </c>
    </row>
    <row r="238" spans="5:11" s="65" customFormat="1" ht="12.75">
      <c r="E238" s="65" t="s">
        <v>201</v>
      </c>
      <c r="G238" s="65">
        <v>0</v>
      </c>
      <c r="I238" s="65">
        <v>0</v>
      </c>
      <c r="K238" s="69"/>
    </row>
    <row r="239" s="65" customFormat="1" ht="12.75">
      <c r="K239" s="69"/>
    </row>
    <row r="240" spans="2:7" s="65" customFormat="1" ht="12.75">
      <c r="B240" s="65" t="s">
        <v>224</v>
      </c>
      <c r="D240" s="65" t="s">
        <v>203</v>
      </c>
      <c r="G240" s="65" t="s">
        <v>225</v>
      </c>
    </row>
    <row r="241" spans="4:7" s="65" customFormat="1" ht="12.75">
      <c r="D241" s="65" t="s">
        <v>204</v>
      </c>
      <c r="G241" s="65" t="s">
        <v>226</v>
      </c>
    </row>
    <row r="242" spans="4:7" s="65" customFormat="1" ht="12.75">
      <c r="D242" s="65" t="s">
        <v>205</v>
      </c>
      <c r="G242" s="65" t="s">
        <v>227</v>
      </c>
    </row>
    <row r="243" s="65" customFormat="1" ht="12.75">
      <c r="D243" s="65" t="s">
        <v>191</v>
      </c>
    </row>
    <row r="244" spans="4:11" s="65" customFormat="1" ht="12.75">
      <c r="D244" s="65" t="s">
        <v>158</v>
      </c>
      <c r="H244" s="65">
        <v>0.02367</v>
      </c>
      <c r="K244" s="69">
        <f>N145/1000*H244</f>
        <v>0</v>
      </c>
    </row>
    <row r="245" spans="4:11" s="65" customFormat="1" ht="12.75">
      <c r="D245" s="65" t="s">
        <v>196</v>
      </c>
      <c r="H245" s="65">
        <v>0.0263</v>
      </c>
      <c r="K245" s="69">
        <f>N146/1000*H245</f>
        <v>0</v>
      </c>
    </row>
    <row r="246" spans="4:11" s="65" customFormat="1" ht="12.75">
      <c r="D246" s="65" t="s">
        <v>198</v>
      </c>
      <c r="H246" s="65">
        <v>0.02893</v>
      </c>
      <c r="K246" s="69">
        <f>N147/1000*H246</f>
        <v>0.03379602600000001</v>
      </c>
    </row>
    <row r="247" s="65" customFormat="1" ht="12.75">
      <c r="K247" s="69"/>
    </row>
    <row r="248" spans="1:11" s="65" customFormat="1" ht="12.75">
      <c r="A248" s="65" t="s">
        <v>228</v>
      </c>
      <c r="B248" s="65" t="s">
        <v>229</v>
      </c>
      <c r="D248" s="65" t="s">
        <v>203</v>
      </c>
      <c r="K248" s="69"/>
    </row>
    <row r="249" spans="2:11" s="65" customFormat="1" ht="12.75">
      <c r="B249" s="65" t="s">
        <v>230</v>
      </c>
      <c r="D249" s="65" t="s">
        <v>209</v>
      </c>
      <c r="K249" s="69"/>
    </row>
    <row r="250" spans="4:11" s="65" customFormat="1" ht="12.75">
      <c r="D250" s="65" t="s">
        <v>191</v>
      </c>
      <c r="K250" s="69"/>
    </row>
    <row r="251" spans="4:11" s="65" customFormat="1" ht="12.75">
      <c r="D251" s="65" t="s">
        <v>158</v>
      </c>
      <c r="H251" s="65">
        <v>0.014679</v>
      </c>
      <c r="I251" s="65">
        <v>0</v>
      </c>
      <c r="K251" s="69">
        <f>N150/1000*H251</f>
        <v>0</v>
      </c>
    </row>
    <row r="252" spans="4:11" s="65" customFormat="1" ht="12.75">
      <c r="D252" s="65" t="s">
        <v>196</v>
      </c>
      <c r="H252" s="65">
        <v>0.01631</v>
      </c>
      <c r="I252" s="65">
        <v>0</v>
      </c>
      <c r="K252" s="69">
        <f>N151/1000*H252</f>
        <v>0</v>
      </c>
    </row>
    <row r="253" spans="4:11" s="65" customFormat="1" ht="12.75">
      <c r="D253" s="65" t="s">
        <v>198</v>
      </c>
      <c r="K253" s="69">
        <f>N152/1000*H253</f>
        <v>0</v>
      </c>
    </row>
    <row r="254" spans="4:11" s="65" customFormat="1" ht="12.75">
      <c r="D254" s="65" t="s">
        <v>211</v>
      </c>
      <c r="K254" s="69"/>
    </row>
    <row r="255" spans="4:11" s="65" customFormat="1" ht="12.75">
      <c r="D255" s="65" t="s">
        <v>191</v>
      </c>
      <c r="K255" s="69"/>
    </row>
    <row r="256" spans="4:11" s="65" customFormat="1" ht="12.75">
      <c r="D256" s="65" t="s">
        <v>192</v>
      </c>
      <c r="K256" s="69"/>
    </row>
    <row r="257" spans="4:11" s="65" customFormat="1" ht="12.75">
      <c r="D257" s="65" t="s">
        <v>158</v>
      </c>
      <c r="K257" s="69">
        <f>N135/1000*H257</f>
        <v>0</v>
      </c>
    </row>
    <row r="258" spans="4:11" s="65" customFormat="1" ht="12.75">
      <c r="D258" s="65" t="s">
        <v>196</v>
      </c>
      <c r="H258" s="65">
        <v>0.01631</v>
      </c>
      <c r="I258" s="65">
        <v>0</v>
      </c>
      <c r="K258" s="69">
        <f>N136/1000*H258</f>
        <v>0</v>
      </c>
    </row>
    <row r="259" spans="4:11" s="65" customFormat="1" ht="12.75">
      <c r="D259" s="65" t="s">
        <v>198</v>
      </c>
      <c r="H259" s="65">
        <v>0.017941</v>
      </c>
      <c r="I259" s="65">
        <v>0</v>
      </c>
      <c r="K259" s="69">
        <f>N137/1000*H259</f>
        <v>0.10941139439999999</v>
      </c>
    </row>
    <row r="260" spans="5:11" s="65" customFormat="1" ht="12.75">
      <c r="E260" s="65" t="s">
        <v>201</v>
      </c>
      <c r="G260" s="65">
        <v>0</v>
      </c>
      <c r="I260" s="65">
        <v>0</v>
      </c>
      <c r="K260" s="69"/>
    </row>
    <row r="261" s="65" customFormat="1" ht="12.75">
      <c r="K261" s="69"/>
    </row>
    <row r="262" spans="1:11" s="65" customFormat="1" ht="12.75">
      <c r="A262" s="65" t="s">
        <v>231</v>
      </c>
      <c r="B262" s="65" t="s">
        <v>232</v>
      </c>
      <c r="D262" s="65" t="s">
        <v>203</v>
      </c>
      <c r="K262" s="69"/>
    </row>
    <row r="263" spans="2:11" s="65" customFormat="1" ht="12.75">
      <c r="B263" s="65" t="s">
        <v>233</v>
      </c>
      <c r="D263" s="65" t="s">
        <v>211</v>
      </c>
      <c r="K263" s="69"/>
    </row>
    <row r="264" spans="4:11" s="65" customFormat="1" ht="12.75">
      <c r="D264" s="65" t="s">
        <v>209</v>
      </c>
      <c r="K264" s="69"/>
    </row>
    <row r="265" spans="4:11" s="65" customFormat="1" ht="12.75">
      <c r="D265" s="65" t="s">
        <v>234</v>
      </c>
      <c r="K265" s="69"/>
    </row>
    <row r="266" spans="4:11" s="65" customFormat="1" ht="12.75">
      <c r="D266" s="65" t="s">
        <v>235</v>
      </c>
      <c r="F266" s="65" t="s">
        <v>236</v>
      </c>
      <c r="K266" s="69"/>
    </row>
    <row r="267" spans="4:11" s="65" customFormat="1" ht="12.75">
      <c r="D267" s="65" t="s">
        <v>191</v>
      </c>
      <c r="F267" s="65" t="s">
        <v>237</v>
      </c>
      <c r="K267" s="69"/>
    </row>
    <row r="268" spans="4:11" s="65" customFormat="1" ht="12.75">
      <c r="D268" s="65" t="s">
        <v>158</v>
      </c>
      <c r="H268" s="65">
        <v>41000</v>
      </c>
      <c r="I268" s="65">
        <v>0</v>
      </c>
      <c r="K268" s="69">
        <f>N163/H268</f>
        <v>0</v>
      </c>
    </row>
    <row r="269" spans="4:11" s="65" customFormat="1" ht="12.75">
      <c r="D269" s="65" t="s">
        <v>196</v>
      </c>
      <c r="H269" s="65">
        <v>39000</v>
      </c>
      <c r="I269" s="65">
        <v>0</v>
      </c>
      <c r="K269" s="69">
        <f>N164/H269</f>
        <v>0</v>
      </c>
    </row>
    <row r="270" spans="4:11" s="65" customFormat="1" ht="12.75">
      <c r="D270" s="65" t="s">
        <v>198</v>
      </c>
      <c r="H270" s="65">
        <v>37000</v>
      </c>
      <c r="I270" s="65">
        <v>0</v>
      </c>
      <c r="K270" s="69">
        <f>N165/H270</f>
        <v>0.16482162162162162</v>
      </c>
    </row>
    <row r="271" s="65" customFormat="1" ht="12.75">
      <c r="K271" s="69"/>
    </row>
    <row r="272" spans="4:11" s="65" customFormat="1" ht="12.75">
      <c r="D272" s="65" t="s">
        <v>238</v>
      </c>
      <c r="K272" s="69"/>
    </row>
    <row r="273" spans="4:11" s="65" customFormat="1" ht="12.75">
      <c r="D273" s="65" t="s">
        <v>239</v>
      </c>
      <c r="F273" s="65" t="s">
        <v>240</v>
      </c>
      <c r="K273" s="69"/>
    </row>
    <row r="274" spans="4:11" s="65" customFormat="1" ht="12.75">
      <c r="D274" s="65" t="s">
        <v>191</v>
      </c>
      <c r="K274" s="69"/>
    </row>
    <row r="275" spans="4:11" s="65" customFormat="1" ht="12.75">
      <c r="D275" s="65" t="s">
        <v>158</v>
      </c>
      <c r="H275" s="65">
        <v>450</v>
      </c>
      <c r="I275" s="65">
        <v>0</v>
      </c>
      <c r="K275" s="69">
        <f>N168/H275</f>
        <v>0</v>
      </c>
    </row>
    <row r="276" spans="4:11" s="65" customFormat="1" ht="12.75">
      <c r="D276" s="65" t="s">
        <v>196</v>
      </c>
      <c r="H276" s="65">
        <v>375</v>
      </c>
      <c r="I276" s="65">
        <v>0</v>
      </c>
      <c r="K276" s="69">
        <f>N169/H276</f>
        <v>0</v>
      </c>
    </row>
    <row r="277" spans="4:11" s="65" customFormat="1" ht="12.75">
      <c r="D277" s="65" t="s">
        <v>198</v>
      </c>
      <c r="H277" s="65">
        <v>310</v>
      </c>
      <c r="I277" s="65">
        <v>0</v>
      </c>
      <c r="K277" s="69">
        <f>N170/H277</f>
        <v>0.38387096774193546</v>
      </c>
    </row>
    <row r="278" spans="5:11" s="65" customFormat="1" ht="12.75">
      <c r="E278" s="65" t="s">
        <v>201</v>
      </c>
      <c r="G278" s="65">
        <v>0</v>
      </c>
      <c r="I278" s="65">
        <v>0</v>
      </c>
      <c r="K278" s="69"/>
    </row>
    <row r="279" s="65" customFormat="1" ht="12.75">
      <c r="K279" s="69"/>
    </row>
    <row r="280" spans="1:11" s="65" customFormat="1" ht="12.75">
      <c r="A280" s="65" t="s">
        <v>241</v>
      </c>
      <c r="B280" s="65" t="s">
        <v>242</v>
      </c>
      <c r="D280" s="65" t="s">
        <v>243</v>
      </c>
      <c r="K280" s="69"/>
    </row>
    <row r="281" spans="4:11" s="65" customFormat="1" ht="12.75">
      <c r="D281" s="65" t="s">
        <v>244</v>
      </c>
      <c r="F281" s="65" t="s">
        <v>240</v>
      </c>
      <c r="K281" s="69"/>
    </row>
    <row r="282" spans="4:11" s="65" customFormat="1" ht="12.75">
      <c r="D282" s="65" t="s">
        <v>245</v>
      </c>
      <c r="K282" s="69"/>
    </row>
    <row r="283" spans="4:11" s="65" customFormat="1" ht="12.75">
      <c r="D283" s="65" t="s">
        <v>158</v>
      </c>
      <c r="H283" s="65">
        <v>2350</v>
      </c>
      <c r="I283" s="65">
        <v>0</v>
      </c>
      <c r="K283" s="69">
        <f>N168/H283</f>
        <v>0</v>
      </c>
    </row>
    <row r="284" spans="4:11" s="65" customFormat="1" ht="12.75">
      <c r="D284" s="65" t="s">
        <v>196</v>
      </c>
      <c r="H284" s="65">
        <v>2250</v>
      </c>
      <c r="I284" s="65">
        <v>0</v>
      </c>
      <c r="K284" s="69">
        <f>N169/H284</f>
        <v>0</v>
      </c>
    </row>
    <row r="285" spans="4:11" s="65" customFormat="1" ht="12.75">
      <c r="D285" s="65" t="s">
        <v>198</v>
      </c>
      <c r="H285" s="65">
        <v>2200</v>
      </c>
      <c r="I285" s="65">
        <v>0</v>
      </c>
      <c r="K285" s="69">
        <f>N170/H285</f>
        <v>0.05409090909090909</v>
      </c>
    </row>
    <row r="286" spans="5:11" s="65" customFormat="1" ht="12.75">
      <c r="E286" s="65" t="s">
        <v>201</v>
      </c>
      <c r="G286" s="65">
        <v>0</v>
      </c>
      <c r="I286" s="65">
        <v>0</v>
      </c>
      <c r="K286" s="69"/>
    </row>
    <row r="287" s="65" customFormat="1" ht="12.75">
      <c r="K287" s="69">
        <f>K149+K150+K151+K159+K160+K161+K166+K167+K168+K172+K173+K174+K180+K181+K182+K186+K187+K188+K194+K195+K196+K200+K201+K202+K208+K209+K210+K214+K215+K216+K223+K224+K225+K229+K230+K231+K235+K236+K237+K244+K245+K246+K251+K252+K253+K257+K258+K259+K268+K269+K270+K275+K276+K277+K283+K284+K285</f>
        <v>1.4110885436544665</v>
      </c>
    </row>
    <row r="288" spans="1:11" s="65" customFormat="1" ht="12.75">
      <c r="A288" s="65" t="s">
        <v>246</v>
      </c>
      <c r="B288" s="65" t="s">
        <v>247</v>
      </c>
      <c r="F288" s="65" t="s">
        <v>248</v>
      </c>
      <c r="I288" s="65">
        <v>1</v>
      </c>
      <c r="K288" s="69">
        <f>K287*1.12</f>
        <v>1.5804191688930025</v>
      </c>
    </row>
    <row r="289" s="65" customFormat="1" ht="12.75">
      <c r="B289" s="65" t="s">
        <v>249</v>
      </c>
    </row>
    <row r="290" s="65" customFormat="1" ht="12.75">
      <c r="B290" s="65" t="s">
        <v>250</v>
      </c>
    </row>
    <row r="291" s="65" customFormat="1" ht="12.75"/>
    <row r="292" spans="1:9" s="65" customFormat="1" ht="12.75">
      <c r="A292" s="65" t="s">
        <v>251</v>
      </c>
      <c r="B292" s="65" t="s">
        <v>252</v>
      </c>
      <c r="I292" s="65">
        <v>2</v>
      </c>
    </row>
    <row r="293" spans="1:9" s="65" customFormat="1" ht="12.75">
      <c r="A293" s="65" t="s">
        <v>253</v>
      </c>
      <c r="B293" s="65" t="s">
        <v>254</v>
      </c>
      <c r="I293" s="65">
        <v>1</v>
      </c>
    </row>
    <row r="294" spans="1:9" s="65" customFormat="1" ht="12.75">
      <c r="A294" s="65" t="s">
        <v>255</v>
      </c>
      <c r="B294" s="65" t="s">
        <v>256</v>
      </c>
      <c r="I294" s="65">
        <v>1</v>
      </c>
    </row>
    <row r="295" spans="2:9" s="65" customFormat="1" ht="12.75">
      <c r="B295" s="65" t="s">
        <v>257</v>
      </c>
      <c r="I295" s="65">
        <v>5</v>
      </c>
    </row>
    <row r="296" s="65" customFormat="1" ht="12.75">
      <c r="F296" s="65" t="s">
        <v>258</v>
      </c>
    </row>
    <row r="297" spans="1:9" s="65" customFormat="1" ht="12.75">
      <c r="A297" s="65" t="s">
        <v>259</v>
      </c>
      <c r="B297" s="65" t="s">
        <v>260</v>
      </c>
      <c r="E297" s="65" t="s">
        <v>261</v>
      </c>
      <c r="H297" s="65">
        <v>1200</v>
      </c>
      <c r="I297" s="65">
        <f>G297/H297</f>
        <v>0</v>
      </c>
    </row>
    <row r="298" spans="5:9" s="65" customFormat="1" ht="12.75">
      <c r="E298" s="65" t="s">
        <v>262</v>
      </c>
      <c r="G298" s="65">
        <v>840</v>
      </c>
      <c r="H298" s="65">
        <v>1650</v>
      </c>
      <c r="I298" s="69">
        <f>G298/H298</f>
        <v>0.509090909090909</v>
      </c>
    </row>
    <row r="299" spans="5:9" s="65" customFormat="1" ht="12.75">
      <c r="E299" s="65" t="s">
        <v>263</v>
      </c>
      <c r="G299" s="65">
        <v>5751</v>
      </c>
      <c r="H299" s="65">
        <v>9000</v>
      </c>
      <c r="I299" s="69">
        <f>G299/H299</f>
        <v>0.639</v>
      </c>
    </row>
    <row r="300" spans="3:9" s="65" customFormat="1" ht="12.75">
      <c r="C300" s="65" t="s">
        <v>201</v>
      </c>
      <c r="G300" s="65">
        <f>G297+G298+G299</f>
        <v>6591</v>
      </c>
      <c r="I300" s="69">
        <f>I297+I298+I299</f>
        <v>1.148090909090909</v>
      </c>
    </row>
    <row r="301" s="65" customFormat="1" ht="12.75">
      <c r="F301" s="65" t="s">
        <v>258</v>
      </c>
    </row>
    <row r="302" spans="1:9" s="65" customFormat="1" ht="12.75">
      <c r="A302" s="65" t="s">
        <v>264</v>
      </c>
      <c r="B302" s="65" t="s">
        <v>265</v>
      </c>
      <c r="E302" s="65" t="s">
        <v>266</v>
      </c>
      <c r="G302" s="65">
        <v>546.2</v>
      </c>
      <c r="H302" s="65">
        <v>800</v>
      </c>
      <c r="I302" s="69">
        <f>G302/H302</f>
        <v>0.6827500000000001</v>
      </c>
    </row>
    <row r="303" spans="2:9" s="65" customFormat="1" ht="12.75">
      <c r="B303" s="65" t="s">
        <v>267</v>
      </c>
      <c r="E303" s="65" t="s">
        <v>268</v>
      </c>
      <c r="H303" s="65">
        <v>960</v>
      </c>
      <c r="I303" s="69">
        <f>G303/H303</f>
        <v>0</v>
      </c>
    </row>
    <row r="304" s="65" customFormat="1" ht="12.75">
      <c r="E304" s="65" t="s">
        <v>269</v>
      </c>
    </row>
    <row r="305" spans="3:9" s="65" customFormat="1" ht="12.75">
      <c r="C305" s="65" t="s">
        <v>201</v>
      </c>
      <c r="G305" s="65">
        <f>G302+G303+G304</f>
        <v>546.2</v>
      </c>
      <c r="I305" s="69">
        <f>I302+I303</f>
        <v>0.6827500000000001</v>
      </c>
    </row>
    <row r="306" s="65" customFormat="1" ht="12.75">
      <c r="F306" s="65" t="s">
        <v>270</v>
      </c>
    </row>
    <row r="307" spans="1:9" s="65" customFormat="1" ht="12.75">
      <c r="A307" s="65" t="s">
        <v>271</v>
      </c>
      <c r="B307" s="65" t="s">
        <v>272</v>
      </c>
      <c r="E307" s="65" t="s">
        <v>273</v>
      </c>
      <c r="H307" s="65">
        <v>500</v>
      </c>
      <c r="I307" s="69">
        <f>G307/H307</f>
        <v>0</v>
      </c>
    </row>
    <row r="308" spans="5:9" s="65" customFormat="1" ht="12.75">
      <c r="E308" s="65" t="s">
        <v>274</v>
      </c>
      <c r="H308" s="65">
        <v>700</v>
      </c>
      <c r="I308" s="69">
        <f>G308/H308</f>
        <v>0</v>
      </c>
    </row>
    <row r="309" s="65" customFormat="1" ht="12.75">
      <c r="E309" s="65" t="s">
        <v>275</v>
      </c>
    </row>
    <row r="310" spans="3:9" s="65" customFormat="1" ht="12.75">
      <c r="C310" s="65" t="s">
        <v>201</v>
      </c>
      <c r="G310" s="65">
        <f>G307+G308</f>
        <v>0</v>
      </c>
      <c r="I310" s="69">
        <f>I307+I308</f>
        <v>0</v>
      </c>
    </row>
    <row r="311" spans="1:2" s="65" customFormat="1" ht="12.75">
      <c r="A311" s="65" t="s">
        <v>276</v>
      </c>
      <c r="B311" s="65" t="s">
        <v>277</v>
      </c>
    </row>
    <row r="312" spans="2:9" s="65" customFormat="1" ht="12.75">
      <c r="B312" s="65" t="s">
        <v>278</v>
      </c>
      <c r="I312" s="65">
        <v>2</v>
      </c>
    </row>
    <row r="313" s="65" customFormat="1" ht="12.75"/>
  </sheetData>
  <sheetProtection/>
  <mergeCells count="44">
    <mergeCell ref="A119:D119"/>
    <mergeCell ref="C100:I100"/>
    <mergeCell ref="A109:G109"/>
    <mergeCell ref="A113:E113"/>
    <mergeCell ref="A115:G115"/>
    <mergeCell ref="A70:F70"/>
    <mergeCell ref="A71:G71"/>
    <mergeCell ref="A72:D72"/>
    <mergeCell ref="E72:G72"/>
    <mergeCell ref="A73:E73"/>
    <mergeCell ref="A55:G55"/>
    <mergeCell ref="A56:G56"/>
    <mergeCell ref="A59:D59"/>
    <mergeCell ref="A60:F60"/>
    <mergeCell ref="A63:E63"/>
    <mergeCell ref="C67:D67"/>
    <mergeCell ref="A43:F43"/>
    <mergeCell ref="A44:F44"/>
    <mergeCell ref="A49:F49"/>
    <mergeCell ref="A53:G53"/>
    <mergeCell ref="A54:E54"/>
    <mergeCell ref="A36:G36"/>
    <mergeCell ref="A37:G37"/>
    <mergeCell ref="A38:G38"/>
    <mergeCell ref="A40:G40"/>
    <mergeCell ref="A41:G41"/>
    <mergeCell ref="A42:G42"/>
    <mergeCell ref="A28:G28"/>
    <mergeCell ref="A30:E30"/>
    <mergeCell ref="A32:G32"/>
    <mergeCell ref="A33:G33"/>
    <mergeCell ref="A34:G34"/>
    <mergeCell ref="A35:G35"/>
    <mergeCell ref="A15:G15"/>
    <mergeCell ref="A19:F19"/>
    <mergeCell ref="A21:F21"/>
    <mergeCell ref="A24:F24"/>
    <mergeCell ref="A26:G26"/>
    <mergeCell ref="A27:G27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6 M56 M59 M66 L76:M76 H103:H105 H107 H109 K109 H115 H117 H119 H121 H123" evalError="1"/>
  </ignoredError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44"/>
  <sheetViews>
    <sheetView zoomScalePageLayoutView="0" workbookViewId="0" topLeftCell="A1">
      <selection activeCell="A54" sqref="A54:G54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57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27" t="s">
        <v>447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 customHeight="1">
      <c r="A5" s="129" t="s">
        <v>1056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2" ht="15" customHeight="1">
      <c r="A6" s="14" t="s">
        <v>419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65">
        <f>9.11*1.042</f>
        <v>9.49262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65">
        <f>L6*4%</f>
        <v>0.3797048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f>43008.82*1.042</f>
        <v>44815.19044</v>
      </c>
      <c r="F12" s="9" t="s">
        <v>70</v>
      </c>
      <c r="H12" s="13"/>
      <c r="I12" s="13"/>
      <c r="K12" s="13"/>
      <c r="L12" s="67">
        <f>E14</f>
        <v>54068.15044</v>
      </c>
      <c r="M12" s="67"/>
      <c r="N12" s="67"/>
      <c r="O12" s="67"/>
      <c r="P12" s="67"/>
    </row>
    <row r="13" spans="1:16" s="9" customFormat="1" ht="15.75">
      <c r="A13" s="11" t="s">
        <v>420</v>
      </c>
      <c r="B13" s="11"/>
      <c r="C13" s="12"/>
      <c r="D13" s="11"/>
      <c r="E13" s="9">
        <f>8880*1.042</f>
        <v>9252.960000000001</v>
      </c>
      <c r="F13" s="9" t="s">
        <v>70</v>
      </c>
      <c r="H13" s="13"/>
      <c r="I13" s="13"/>
      <c r="K13" s="13"/>
      <c r="L13" s="92" t="e">
        <f>K20+K36+K64+K91+#REF!+K101</f>
        <v>#REF!</v>
      </c>
      <c r="M13" s="67"/>
      <c r="N13" s="67"/>
      <c r="O13" s="67"/>
      <c r="P13" s="67"/>
    </row>
    <row r="14" spans="1:16" s="9" customFormat="1" ht="15.75">
      <c r="A14" s="11" t="s">
        <v>421</v>
      </c>
      <c r="B14" s="11"/>
      <c r="C14" s="12"/>
      <c r="D14" s="11"/>
      <c r="E14" s="9">
        <f>E12+E13</f>
        <v>54068.15044</v>
      </c>
      <c r="F14" s="9" t="s">
        <v>70</v>
      </c>
      <c r="H14" s="13"/>
      <c r="I14" s="13"/>
      <c r="K14" s="13"/>
      <c r="L14" s="92" t="e">
        <f>L12-L13</f>
        <v>#REF!</v>
      </c>
      <c r="M14" s="67"/>
      <c r="N14" s="67">
        <f>E14*0.97</f>
        <v>52446.105926799995</v>
      </c>
      <c r="O14" s="67"/>
      <c r="P14" s="67"/>
    </row>
    <row r="15" spans="1:16" s="9" customFormat="1" ht="15.75" customHeight="1">
      <c r="A15" s="118"/>
      <c r="B15" s="118"/>
      <c r="C15" s="118"/>
      <c r="D15" s="118"/>
      <c r="E15" s="118"/>
      <c r="F15" s="118"/>
      <c r="G15" s="118"/>
      <c r="H15" s="118"/>
      <c r="K15" s="14"/>
      <c r="L15" s="67"/>
      <c r="M15" s="67"/>
      <c r="N15" s="67"/>
      <c r="O15" s="67"/>
      <c r="P15" s="67"/>
    </row>
    <row r="16" spans="3:16" s="9" customFormat="1" ht="15.75">
      <c r="C16" s="15" t="s">
        <v>71</v>
      </c>
      <c r="D16" s="15"/>
      <c r="K16" s="5"/>
      <c r="L16" s="67"/>
      <c r="M16" s="67"/>
      <c r="N16" s="67"/>
      <c r="O16" s="67"/>
      <c r="P16" s="67"/>
    </row>
    <row r="17" spans="1:13" ht="15.75">
      <c r="A17" s="114" t="s">
        <v>72</v>
      </c>
      <c r="B17" s="114"/>
      <c r="C17" s="114"/>
      <c r="D17" s="114"/>
      <c r="E17" s="114"/>
      <c r="F17" s="114"/>
      <c r="G17" s="114"/>
      <c r="H17" s="16"/>
      <c r="I17" s="16"/>
      <c r="J17" s="16"/>
      <c r="K17" s="17">
        <f>K20+K36+K64+K91+K101+K117</f>
        <v>51150.18649735454</v>
      </c>
      <c r="L17" s="68"/>
      <c r="M17" s="65" t="s">
        <v>73</v>
      </c>
    </row>
    <row r="18" spans="1:11" ht="15.75">
      <c r="A18" s="15"/>
      <c r="B18" s="15"/>
      <c r="C18" s="19"/>
      <c r="D18" s="15"/>
      <c r="E18" s="15"/>
      <c r="F18" s="15"/>
      <c r="G18" s="15"/>
      <c r="H18" s="15"/>
      <c r="I18" s="15"/>
      <c r="J18" s="15"/>
      <c r="K18" s="18"/>
    </row>
    <row r="19" spans="1:13" ht="15.75">
      <c r="A19" s="15"/>
      <c r="B19" s="15"/>
      <c r="C19" s="19"/>
      <c r="D19" s="15"/>
      <c r="E19" s="15"/>
      <c r="F19" s="15"/>
      <c r="G19" s="15"/>
      <c r="H19" s="15"/>
      <c r="I19" s="15"/>
      <c r="J19" s="15"/>
      <c r="K19" s="18"/>
      <c r="L19" s="69"/>
      <c r="M19" s="65" t="s">
        <v>74</v>
      </c>
    </row>
    <row r="20" spans="1:15" ht="15.75">
      <c r="A20" s="20" t="s">
        <v>147</v>
      </c>
      <c r="B20" s="20"/>
      <c r="C20" s="20"/>
      <c r="D20" s="20"/>
      <c r="E20" s="20"/>
      <c r="F20" s="20"/>
      <c r="G20" s="20"/>
      <c r="H20" s="20"/>
      <c r="I20" s="21"/>
      <c r="J20" s="20"/>
      <c r="K20" s="21">
        <f>H22+H24+H25+H28+H30+H32+H34+H23</f>
        <v>9160.803575616945</v>
      </c>
      <c r="M20" s="65" t="s">
        <v>76</v>
      </c>
      <c r="O20" s="69">
        <f>I332</f>
        <v>1.0648888888888888</v>
      </c>
    </row>
    <row r="21" spans="1:15" ht="12.75">
      <c r="A21" s="22" t="s">
        <v>77</v>
      </c>
      <c r="B21" s="22"/>
      <c r="C21" s="22"/>
      <c r="D21" s="22"/>
      <c r="E21" s="22"/>
      <c r="F21" s="22"/>
      <c r="G21" s="22"/>
      <c r="H21" s="22"/>
      <c r="I21" s="22"/>
      <c r="J21" s="22">
        <v>2972395.8</v>
      </c>
      <c r="K21" s="23"/>
      <c r="M21" s="65" t="s">
        <v>78</v>
      </c>
      <c r="O21" s="69">
        <f>I337</f>
        <v>0.70375</v>
      </c>
    </row>
    <row r="22" spans="1:15" ht="12.75">
      <c r="A22" s="113" t="s">
        <v>1057</v>
      </c>
      <c r="B22" s="113"/>
      <c r="C22" s="113"/>
      <c r="D22" s="113"/>
      <c r="E22" s="113"/>
      <c r="F22" s="113"/>
      <c r="G22" s="22"/>
      <c r="H22" s="23">
        <f>O20*2600*1.75*1.07</f>
        <v>5184.411555555555</v>
      </c>
      <c r="I22" s="22"/>
      <c r="J22" s="22"/>
      <c r="K22" s="23"/>
      <c r="M22" s="65" t="s">
        <v>80</v>
      </c>
      <c r="O22" s="69"/>
    </row>
    <row r="23" spans="1:15" ht="12.75">
      <c r="A23" s="24" t="s">
        <v>478</v>
      </c>
      <c r="B23" s="24"/>
      <c r="C23" s="24"/>
      <c r="D23" s="24"/>
      <c r="E23" s="24"/>
      <c r="F23" s="24"/>
      <c r="G23" s="22"/>
      <c r="H23" s="23">
        <f>O21*2203*1.3*1.07</f>
        <v>2156.5524987500003</v>
      </c>
      <c r="I23" s="22"/>
      <c r="J23" s="22"/>
      <c r="K23" s="23"/>
      <c r="M23" s="65" t="s">
        <v>82</v>
      </c>
      <c r="O23" s="69">
        <v>5710.8</v>
      </c>
    </row>
    <row r="24" spans="1:15" ht="12.75">
      <c r="A24" s="113"/>
      <c r="B24" s="113"/>
      <c r="C24" s="113"/>
      <c r="D24" s="113"/>
      <c r="E24" s="113"/>
      <c r="F24" s="113"/>
      <c r="G24" s="22"/>
      <c r="H24" s="23"/>
      <c r="I24" s="22"/>
      <c r="J24" s="22"/>
      <c r="K24" s="23"/>
      <c r="M24" s="65" t="s">
        <v>83</v>
      </c>
      <c r="O24" s="65">
        <v>289</v>
      </c>
    </row>
    <row r="25" spans="1:16" ht="12.75">
      <c r="A25" s="23">
        <f>H22+H23</f>
        <v>7340.964054305556</v>
      </c>
      <c r="B25" s="22" t="s">
        <v>84</v>
      </c>
      <c r="C25" s="22"/>
      <c r="D25" s="22"/>
      <c r="E25" s="22"/>
      <c r="F25" s="22"/>
      <c r="G25" s="22"/>
      <c r="H25" s="23">
        <f>A25*0.142</f>
        <v>1042.4168957113889</v>
      </c>
      <c r="I25" s="22"/>
      <c r="J25" s="22">
        <v>781740.1</v>
      </c>
      <c r="K25" s="25"/>
      <c r="L25" s="70"/>
      <c r="M25" s="65" t="s">
        <v>85</v>
      </c>
      <c r="P25" s="65">
        <f>O25/2</f>
        <v>0</v>
      </c>
    </row>
    <row r="26" spans="1:16" ht="12.75">
      <c r="A26" s="22" t="s">
        <v>86</v>
      </c>
      <c r="B26" s="22"/>
      <c r="C26" s="22"/>
      <c r="D26" s="22"/>
      <c r="E26" s="22"/>
      <c r="F26" s="22"/>
      <c r="G26" s="22"/>
      <c r="H26" s="23"/>
      <c r="I26" s="22"/>
      <c r="J26" s="22">
        <v>113966.82</v>
      </c>
      <c r="K26" s="23"/>
      <c r="N26" s="65">
        <v>9</v>
      </c>
      <c r="P26" s="65">
        <f>O26/2</f>
        <v>0</v>
      </c>
    </row>
    <row r="27" spans="1:11" ht="12.75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3"/>
    </row>
    <row r="28" spans="1:16" ht="12.75">
      <c r="A28" s="113" t="s">
        <v>1058</v>
      </c>
      <c r="B28" s="113"/>
      <c r="C28" s="113"/>
      <c r="D28" s="113"/>
      <c r="E28" s="113"/>
      <c r="F28" s="113"/>
      <c r="G28" s="22"/>
      <c r="H28" s="23">
        <f>0.057*O23</f>
        <v>325.5156</v>
      </c>
      <c r="I28" s="23"/>
      <c r="J28" s="22"/>
      <c r="K28" s="23"/>
      <c r="N28" s="65">
        <v>10</v>
      </c>
      <c r="P28" s="65">
        <f>O28/2</f>
        <v>0</v>
      </c>
    </row>
    <row r="29" spans="1:11" ht="12.75">
      <c r="A29" s="24" t="s">
        <v>1059</v>
      </c>
      <c r="B29" s="24"/>
      <c r="C29" s="24"/>
      <c r="D29" s="24"/>
      <c r="E29" s="24"/>
      <c r="F29" s="24"/>
      <c r="G29" s="22"/>
      <c r="H29" s="23">
        <f>O23*0.0085</f>
        <v>48.5418</v>
      </c>
      <c r="I29" s="23"/>
      <c r="J29" s="22"/>
      <c r="K29" s="23"/>
    </row>
    <row r="30" spans="1:13" ht="12.75">
      <c r="A30" s="113" t="s">
        <v>1060</v>
      </c>
      <c r="B30" s="113"/>
      <c r="C30" s="113"/>
      <c r="D30" s="113"/>
      <c r="E30" s="113"/>
      <c r="F30" s="113"/>
      <c r="G30" s="113"/>
      <c r="H30" s="23">
        <f>0.005*O23</f>
        <v>28.554000000000002</v>
      </c>
      <c r="I30" s="22"/>
      <c r="J30" s="22"/>
      <c r="K30" s="23"/>
      <c r="M30" s="65" t="s">
        <v>90</v>
      </c>
    </row>
    <row r="31" spans="1:11" ht="12.75">
      <c r="A31" s="24"/>
      <c r="B31" s="24"/>
      <c r="C31" s="24"/>
      <c r="D31" s="24"/>
      <c r="E31" s="24"/>
      <c r="F31" s="24"/>
      <c r="G31" s="24"/>
      <c r="H31" s="23"/>
      <c r="I31" s="22"/>
      <c r="J31" s="22"/>
      <c r="K31" s="23"/>
    </row>
    <row r="32" spans="1:15" ht="12.75">
      <c r="A32" s="113" t="s">
        <v>1061</v>
      </c>
      <c r="B32" s="113"/>
      <c r="C32" s="113"/>
      <c r="D32" s="113"/>
      <c r="E32" s="113"/>
      <c r="F32" s="113"/>
      <c r="G32" s="113"/>
      <c r="H32" s="23">
        <f>O23*0.017</f>
        <v>97.0836</v>
      </c>
      <c r="I32" s="22"/>
      <c r="J32" s="22">
        <v>13606.82</v>
      </c>
      <c r="K32" s="23"/>
      <c r="M32" s="65" t="s">
        <v>92</v>
      </c>
      <c r="O32" s="65">
        <v>48</v>
      </c>
    </row>
    <row r="33" spans="1:11" ht="12.75">
      <c r="A33" s="24"/>
      <c r="B33" s="24"/>
      <c r="C33" s="24"/>
      <c r="D33" s="24"/>
      <c r="E33" s="24"/>
      <c r="F33" s="24"/>
      <c r="G33" s="24"/>
      <c r="H33" s="23"/>
      <c r="I33" s="22"/>
      <c r="J33" s="22"/>
      <c r="K33" s="23"/>
    </row>
    <row r="34" spans="1:15" ht="12.75">
      <c r="A34" s="113" t="s">
        <v>93</v>
      </c>
      <c r="B34" s="113"/>
      <c r="C34" s="113"/>
      <c r="D34" s="113"/>
      <c r="E34" s="113"/>
      <c r="F34" s="113"/>
      <c r="G34" s="113"/>
      <c r="H34" s="23">
        <f>0.054*O23*1.058</f>
        <v>326.2694256</v>
      </c>
      <c r="I34" s="22"/>
      <c r="J34" s="22"/>
      <c r="K34" s="23"/>
      <c r="M34" s="65" t="s">
        <v>94</v>
      </c>
      <c r="O34" s="65">
        <v>620</v>
      </c>
    </row>
    <row r="35" spans="1:11" ht="12.75">
      <c r="A35" s="24"/>
      <c r="B35" s="24"/>
      <c r="C35" s="24"/>
      <c r="D35" s="24"/>
      <c r="E35" s="24"/>
      <c r="F35" s="24"/>
      <c r="G35" s="24"/>
      <c r="H35" s="23"/>
      <c r="I35" s="22"/>
      <c r="J35" s="22"/>
      <c r="K35" s="23"/>
    </row>
    <row r="36" spans="1:15" ht="15.75">
      <c r="A36" s="110" t="s">
        <v>95</v>
      </c>
      <c r="B36" s="110"/>
      <c r="C36" s="110"/>
      <c r="D36" s="110"/>
      <c r="E36" s="110"/>
      <c r="F36" s="20"/>
      <c r="G36" s="20"/>
      <c r="H36" s="27"/>
      <c r="I36" s="20"/>
      <c r="J36" s="20"/>
      <c r="K36" s="21">
        <f>H38+H40+H42+H44+H46+H48+H50+H54+H56+H58+H60+K56+H52+H62</f>
        <v>9409.728622</v>
      </c>
      <c r="M36" s="65" t="s">
        <v>96</v>
      </c>
      <c r="O36" s="69">
        <f>K320</f>
        <v>1.6180961115840293</v>
      </c>
    </row>
    <row r="37" spans="1:15" ht="12.75">
      <c r="A37" s="22"/>
      <c r="B37" s="22" t="s">
        <v>64</v>
      </c>
      <c r="C37" s="22"/>
      <c r="D37" s="22"/>
      <c r="E37" s="22"/>
      <c r="F37" s="22"/>
      <c r="G37" s="22"/>
      <c r="H37" s="28"/>
      <c r="I37" s="22"/>
      <c r="J37" s="22"/>
      <c r="K37" s="29"/>
      <c r="M37" s="65" t="s">
        <v>97</v>
      </c>
      <c r="O37" s="69">
        <f>O24*1.5/12/11.25</f>
        <v>3.2111111111111112</v>
      </c>
    </row>
    <row r="38" spans="1:11" ht="12.75">
      <c r="A38" s="113" t="s">
        <v>1062</v>
      </c>
      <c r="B38" s="113"/>
      <c r="C38" s="113"/>
      <c r="D38" s="113"/>
      <c r="E38" s="113"/>
      <c r="F38" s="113"/>
      <c r="G38" s="113"/>
      <c r="H38" s="28">
        <f>(O24*1.5)/12*90.3*1.058</f>
        <v>3451.288575</v>
      </c>
      <c r="I38" s="22"/>
      <c r="J38" s="22"/>
      <c r="K38" s="29"/>
    </row>
    <row r="39" spans="1:11" ht="12.75">
      <c r="A39" s="24"/>
      <c r="B39" s="24"/>
      <c r="C39" s="24"/>
      <c r="D39" s="24"/>
      <c r="E39" s="24"/>
      <c r="F39" s="24"/>
      <c r="G39" s="24"/>
      <c r="H39" s="28"/>
      <c r="I39" s="22"/>
      <c r="J39" s="22"/>
      <c r="K39" s="29"/>
    </row>
    <row r="40" spans="1:11" ht="12.75">
      <c r="A40" s="113" t="s">
        <v>1063</v>
      </c>
      <c r="B40" s="113"/>
      <c r="C40" s="113"/>
      <c r="D40" s="113"/>
      <c r="E40" s="113"/>
      <c r="F40" s="113"/>
      <c r="G40" s="113"/>
      <c r="H40" s="28">
        <f>O24*1.5*33.1/12*1.058</f>
        <v>1265.090275</v>
      </c>
      <c r="I40" s="22"/>
      <c r="J40" s="22"/>
      <c r="K40" s="29"/>
    </row>
    <row r="41" spans="1:11" ht="12.75">
      <c r="A41" s="24"/>
      <c r="B41" s="24"/>
      <c r="C41" s="24"/>
      <c r="D41" s="24"/>
      <c r="E41" s="24"/>
      <c r="F41" s="24"/>
      <c r="G41" s="24"/>
      <c r="H41" s="28"/>
      <c r="I41" s="22"/>
      <c r="J41" s="22"/>
      <c r="K41" s="29"/>
    </row>
    <row r="42" spans="1:11" ht="12.75">
      <c r="A42" s="113" t="s">
        <v>1064</v>
      </c>
      <c r="B42" s="113"/>
      <c r="C42" s="113"/>
      <c r="D42" s="113"/>
      <c r="E42" s="113"/>
      <c r="F42" s="113"/>
      <c r="G42" s="113"/>
      <c r="H42" s="28">
        <f>O34*2.24*1.229</f>
        <v>1706.8352000000004</v>
      </c>
      <c r="I42" s="22"/>
      <c r="J42" s="22"/>
      <c r="K42" s="29"/>
    </row>
    <row r="43" spans="1:11" ht="12.75">
      <c r="A43" s="24"/>
      <c r="B43" s="24"/>
      <c r="C43" s="24"/>
      <c r="D43" s="24"/>
      <c r="E43" s="24"/>
      <c r="F43" s="24"/>
      <c r="G43" s="24"/>
      <c r="H43" s="28"/>
      <c r="I43" s="22"/>
      <c r="J43" s="22"/>
      <c r="K43" s="29"/>
    </row>
    <row r="44" spans="1:11" ht="12.75">
      <c r="A44" s="113" t="s">
        <v>1065</v>
      </c>
      <c r="B44" s="113"/>
      <c r="C44" s="113"/>
      <c r="D44" s="113"/>
      <c r="E44" s="113"/>
      <c r="F44" s="113"/>
      <c r="G44" s="113"/>
      <c r="H44" s="28">
        <f>O23*0.0277</f>
        <v>158.18916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1" ht="12.75">
      <c r="A46" s="113" t="s">
        <v>1066</v>
      </c>
      <c r="B46" s="113"/>
      <c r="C46" s="113"/>
      <c r="D46" s="113"/>
      <c r="E46" s="113"/>
      <c r="F46" s="113"/>
      <c r="G46" s="113"/>
      <c r="H46" s="28">
        <f>O23*0.0027</f>
        <v>15.419160000000002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2.75">
      <c r="A48" s="113" t="s">
        <v>103</v>
      </c>
      <c r="B48" s="113"/>
      <c r="C48" s="113"/>
      <c r="D48" s="113"/>
      <c r="E48" s="113"/>
      <c r="F48" s="113"/>
      <c r="G48" s="113"/>
      <c r="H48" s="28">
        <f>O32*4.81/12</f>
        <v>19.24</v>
      </c>
      <c r="I48" s="22"/>
      <c r="J48" s="22"/>
      <c r="K48" s="29"/>
    </row>
    <row r="49" spans="1:11" ht="12.75">
      <c r="A49" s="24"/>
      <c r="B49" s="24"/>
      <c r="C49" s="24"/>
      <c r="D49" s="24"/>
      <c r="E49" s="24"/>
      <c r="F49" s="24"/>
      <c r="G49" s="24"/>
      <c r="H49" s="28"/>
      <c r="I49" s="22"/>
      <c r="J49" s="22"/>
      <c r="K49" s="29"/>
    </row>
    <row r="50" spans="1:11" ht="12.75">
      <c r="A50" s="113" t="s">
        <v>1067</v>
      </c>
      <c r="B50" s="113"/>
      <c r="C50" s="113"/>
      <c r="D50" s="113"/>
      <c r="E50" s="113"/>
      <c r="F50" s="113"/>
      <c r="G50" s="113"/>
      <c r="H50" s="28">
        <f>O23*0.11*1.229</f>
        <v>772.043052</v>
      </c>
      <c r="I50" s="22"/>
      <c r="J50" s="22"/>
      <c r="K50" s="29"/>
    </row>
    <row r="51" spans="1:11" ht="12.75">
      <c r="A51" s="24"/>
      <c r="B51" s="24"/>
      <c r="C51" s="24"/>
      <c r="D51" s="24"/>
      <c r="E51" s="24"/>
      <c r="F51" s="24"/>
      <c r="G51" s="24"/>
      <c r="H51" s="28"/>
      <c r="I51" s="22"/>
      <c r="J51" s="22"/>
      <c r="K51" s="29"/>
    </row>
    <row r="52" spans="1:11" ht="12.75">
      <c r="A52" s="30" t="s">
        <v>1068</v>
      </c>
      <c r="B52" s="30"/>
      <c r="C52" s="30"/>
      <c r="D52" s="30"/>
      <c r="E52" s="30"/>
      <c r="F52" s="30"/>
      <c r="G52" s="30"/>
      <c r="H52" s="31">
        <f>O23*0.216</f>
        <v>1233.5328</v>
      </c>
      <c r="I52" s="22"/>
      <c r="J52" s="22"/>
      <c r="K52" s="29"/>
    </row>
    <row r="53" spans="1:11" ht="12.75">
      <c r="A53" s="30"/>
      <c r="B53" s="30"/>
      <c r="C53" s="30"/>
      <c r="D53" s="30"/>
      <c r="E53" s="30"/>
      <c r="F53" s="30"/>
      <c r="G53" s="30"/>
      <c r="H53" s="31"/>
      <c r="I53" s="22"/>
      <c r="J53" s="22"/>
      <c r="K53" s="29"/>
    </row>
    <row r="54" spans="1:11" ht="12.75">
      <c r="A54" s="113" t="s">
        <v>1069</v>
      </c>
      <c r="B54" s="113"/>
      <c r="C54" s="113"/>
      <c r="D54" s="113"/>
      <c r="E54" s="113"/>
      <c r="F54" s="113"/>
      <c r="G54" s="113"/>
      <c r="H54" s="28">
        <f>O23*0.027</f>
        <v>154.1916</v>
      </c>
      <c r="I54" s="22"/>
      <c r="J54" s="3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32"/>
      <c r="K55" s="29"/>
    </row>
    <row r="56" spans="1:11" ht="12.75">
      <c r="A56" s="113" t="s">
        <v>1070</v>
      </c>
      <c r="B56" s="113"/>
      <c r="C56" s="113"/>
      <c r="D56" s="113"/>
      <c r="E56" s="113"/>
      <c r="F56" s="113"/>
      <c r="G56" s="113"/>
      <c r="H56" s="28">
        <f>O23*0.022</f>
        <v>125.63759999999999</v>
      </c>
      <c r="I56" s="22"/>
      <c r="J56" s="22"/>
      <c r="K56" s="29"/>
    </row>
    <row r="57" spans="1:11" ht="12.75">
      <c r="A57" s="24"/>
      <c r="B57" s="24"/>
      <c r="C57" s="24"/>
      <c r="D57" s="24"/>
      <c r="E57" s="24"/>
      <c r="F57" s="24"/>
      <c r="G57" s="24"/>
      <c r="H57" s="28"/>
      <c r="I57" s="22"/>
      <c r="J57" s="22"/>
      <c r="K57" s="29"/>
    </row>
    <row r="58" spans="1:11" ht="12.75">
      <c r="A58" s="113" t="s">
        <v>1071</v>
      </c>
      <c r="B58" s="113"/>
      <c r="C58" s="113"/>
      <c r="D58" s="113"/>
      <c r="E58" s="113"/>
      <c r="F58" s="113"/>
      <c r="G58" s="113"/>
      <c r="H58" s="28">
        <f>O23*0.022</f>
        <v>125.63759999999999</v>
      </c>
      <c r="I58" s="22"/>
      <c r="J58" s="22"/>
      <c r="K58" s="29"/>
    </row>
    <row r="59" spans="1:11" ht="12.75">
      <c r="A59" s="24"/>
      <c r="B59" s="24"/>
      <c r="C59" s="24"/>
      <c r="D59" s="24"/>
      <c r="E59" s="24"/>
      <c r="F59" s="24"/>
      <c r="G59" s="24"/>
      <c r="H59" s="28"/>
      <c r="I59" s="22"/>
      <c r="J59" s="22"/>
      <c r="K59" s="29"/>
    </row>
    <row r="60" spans="1:11" ht="12.75">
      <c r="A60" s="113" t="s">
        <v>1072</v>
      </c>
      <c r="B60" s="113"/>
      <c r="C60" s="113"/>
      <c r="D60" s="113"/>
      <c r="E60" s="113"/>
      <c r="F60" s="113"/>
      <c r="G60" s="24"/>
      <c r="H60" s="28">
        <f>O23*0.053</f>
        <v>302.6724</v>
      </c>
      <c r="I60" s="22"/>
      <c r="J60" s="22"/>
      <c r="K60" s="29"/>
    </row>
    <row r="61" spans="1:11" ht="12.75">
      <c r="A61" s="24"/>
      <c r="B61" s="24"/>
      <c r="C61" s="24"/>
      <c r="D61" s="24"/>
      <c r="E61" s="24"/>
      <c r="F61" s="24"/>
      <c r="G61" s="24"/>
      <c r="H61" s="28"/>
      <c r="I61" s="22"/>
      <c r="J61" s="22"/>
      <c r="K61" s="29"/>
    </row>
    <row r="62" spans="1:11" ht="12.75">
      <c r="A62" s="113" t="s">
        <v>1073</v>
      </c>
      <c r="B62" s="113"/>
      <c r="C62" s="113"/>
      <c r="D62" s="113"/>
      <c r="E62" s="113"/>
      <c r="F62" s="113"/>
      <c r="G62" s="24"/>
      <c r="H62" s="28">
        <f>O23*0.014</f>
        <v>79.9512</v>
      </c>
      <c r="I62" s="22"/>
      <c r="J62" s="22"/>
      <c r="K62" s="29"/>
    </row>
    <row r="63" spans="1:11" ht="12.75">
      <c r="A63" s="24"/>
      <c r="B63" s="24"/>
      <c r="C63" s="24"/>
      <c r="D63" s="24"/>
      <c r="E63" s="24"/>
      <c r="F63" s="24"/>
      <c r="G63" s="24"/>
      <c r="H63" s="28"/>
      <c r="I63" s="22"/>
      <c r="J63" s="22"/>
      <c r="K63" s="29"/>
    </row>
    <row r="64" spans="1:13" ht="15.75">
      <c r="A64" s="20" t="s">
        <v>111</v>
      </c>
      <c r="B64" s="20"/>
      <c r="C64" s="20"/>
      <c r="D64" s="20"/>
      <c r="E64" s="20"/>
      <c r="F64" s="20"/>
      <c r="G64" s="20"/>
      <c r="H64" s="27"/>
      <c r="I64" s="20"/>
      <c r="J64" s="20"/>
      <c r="K64" s="21">
        <f>H68+H70+H72+H74+H76+H78+H80+H82+H84+H86+H89</f>
        <v>22966.093579737593</v>
      </c>
      <c r="M64" s="71" t="e">
        <f>K64/309084*#REF!</f>
        <v>#REF!</v>
      </c>
    </row>
    <row r="65" spans="1:11" ht="12.75">
      <c r="A65" s="22"/>
      <c r="B65" s="22" t="s">
        <v>64</v>
      </c>
      <c r="C65" s="22"/>
      <c r="D65" s="22"/>
      <c r="E65" s="22"/>
      <c r="F65" s="22"/>
      <c r="G65" s="22"/>
      <c r="H65" s="28"/>
      <c r="I65" s="22"/>
      <c r="J65" s="22"/>
      <c r="K65" s="29"/>
    </row>
    <row r="66" spans="1:11" ht="12.75">
      <c r="A66" s="33" t="s">
        <v>112</v>
      </c>
      <c r="B66" s="33"/>
      <c r="C66" s="33"/>
      <c r="D66" s="33"/>
      <c r="E66" s="33"/>
      <c r="F66" s="33"/>
      <c r="G66" s="33"/>
      <c r="H66" s="34"/>
      <c r="I66" s="33"/>
      <c r="J66" s="33"/>
      <c r="K66" s="35"/>
    </row>
    <row r="67" spans="1:11" ht="12.75">
      <c r="A67" s="33"/>
      <c r="B67" s="33"/>
      <c r="C67" s="33"/>
      <c r="D67" s="33"/>
      <c r="E67" s="33"/>
      <c r="F67" s="33"/>
      <c r="G67" s="33"/>
      <c r="H67" s="34"/>
      <c r="I67" s="33"/>
      <c r="J67" s="33"/>
      <c r="K67" s="35"/>
    </row>
    <row r="68" spans="1:11" ht="12.75">
      <c r="A68" s="111" t="s">
        <v>1074</v>
      </c>
      <c r="B68" s="111"/>
      <c r="C68" s="111"/>
      <c r="D68" s="111"/>
      <c r="E68" s="111"/>
      <c r="F68" s="111"/>
      <c r="G68" s="36"/>
      <c r="H68" s="37">
        <f>K320*24.48*165.1*1.5*1.07</f>
        <v>10496.338735672149</v>
      </c>
      <c r="I68" s="38"/>
      <c r="J68" s="38"/>
      <c r="K68" s="35"/>
    </row>
    <row r="69" spans="1:11" ht="12.75">
      <c r="A69" s="33" t="s">
        <v>114</v>
      </c>
      <c r="B69" s="33"/>
      <c r="C69" s="33"/>
      <c r="D69" s="33"/>
      <c r="E69" s="33"/>
      <c r="F69" s="33"/>
      <c r="G69" s="33"/>
      <c r="H69" s="34"/>
      <c r="I69" s="33"/>
      <c r="J69" s="33"/>
      <c r="K69" s="35"/>
    </row>
    <row r="70" spans="1:11" ht="12.75">
      <c r="A70" s="39">
        <f>H68</f>
        <v>10496.338735672149</v>
      </c>
      <c r="B70" s="36" t="s">
        <v>115</v>
      </c>
      <c r="C70" s="36"/>
      <c r="D70" s="36"/>
      <c r="E70" s="36"/>
      <c r="F70" s="36"/>
      <c r="G70" s="38"/>
      <c r="H70" s="37">
        <f>H68*14.2%</f>
        <v>1490.480100465445</v>
      </c>
      <c r="I70" s="38"/>
      <c r="J70" s="38"/>
      <c r="K70" s="35"/>
    </row>
    <row r="71" spans="1:11" ht="12.75">
      <c r="A71" s="119"/>
      <c r="B71" s="119"/>
      <c r="C71" s="119"/>
      <c r="D71" s="119"/>
      <c r="E71" s="119"/>
      <c r="F71" s="40"/>
      <c r="G71" s="40"/>
      <c r="H71" s="37"/>
      <c r="I71" s="38"/>
      <c r="J71" s="38"/>
      <c r="K71" s="35"/>
    </row>
    <row r="72" spans="1:11" ht="12.75">
      <c r="A72" s="30" t="s">
        <v>86</v>
      </c>
      <c r="B72" s="30"/>
      <c r="C72" s="30"/>
      <c r="D72" s="30"/>
      <c r="E72" s="30"/>
      <c r="F72" s="40"/>
      <c r="G72" s="40"/>
      <c r="H72" s="37">
        <f>0.04*O23</f>
        <v>228.43200000000002</v>
      </c>
      <c r="I72" s="38"/>
      <c r="J72" s="38"/>
      <c r="K72" s="35"/>
    </row>
    <row r="73" spans="1:11" ht="12.75">
      <c r="A73" s="30"/>
      <c r="B73" s="30"/>
      <c r="C73" s="30"/>
      <c r="D73" s="30"/>
      <c r="E73" s="30"/>
      <c r="F73" s="40"/>
      <c r="G73" s="40"/>
      <c r="H73" s="37"/>
      <c r="I73" s="38"/>
      <c r="J73" s="38"/>
      <c r="K73" s="35"/>
    </row>
    <row r="74" spans="1:11" ht="12.75">
      <c r="A74" s="108" t="s">
        <v>116</v>
      </c>
      <c r="B74" s="108"/>
      <c r="C74" s="108"/>
      <c r="D74" s="108"/>
      <c r="E74" s="108"/>
      <c r="F74" s="108"/>
      <c r="G74" s="108"/>
      <c r="H74" s="37">
        <v>8450</v>
      </c>
      <c r="I74" s="38"/>
      <c r="J74" s="38"/>
      <c r="K74" s="35"/>
    </row>
    <row r="75" spans="1:11" ht="12.75">
      <c r="A75" s="30"/>
      <c r="B75" s="30"/>
      <c r="C75" s="30"/>
      <c r="D75" s="30"/>
      <c r="E75" s="30"/>
      <c r="F75" s="30"/>
      <c r="G75" s="30"/>
      <c r="H75" s="37"/>
      <c r="I75" s="38"/>
      <c r="J75" s="38"/>
      <c r="K75" s="35"/>
    </row>
    <row r="76" spans="1:11" ht="12.75">
      <c r="A76" s="108" t="s">
        <v>1075</v>
      </c>
      <c r="B76" s="108"/>
      <c r="C76" s="108"/>
      <c r="D76" s="108"/>
      <c r="E76" s="108"/>
      <c r="F76" s="30"/>
      <c r="G76" s="30"/>
      <c r="H76" s="37">
        <f>0.0037*O23</f>
        <v>21.12996</v>
      </c>
      <c r="I76" s="38"/>
      <c r="J76" s="38"/>
      <c r="K76" s="35"/>
    </row>
    <row r="77" spans="1:11" ht="12.75">
      <c r="A77" s="30"/>
      <c r="B77" s="30"/>
      <c r="C77" s="30"/>
      <c r="D77" s="30"/>
      <c r="E77" s="30"/>
      <c r="F77" s="30"/>
      <c r="G77" s="30"/>
      <c r="H77" s="37"/>
      <c r="I77" s="38"/>
      <c r="J77" s="38"/>
      <c r="K77" s="35"/>
    </row>
    <row r="78" spans="1:12" ht="12.75">
      <c r="A78" s="108" t="s">
        <v>1076</v>
      </c>
      <c r="B78" s="108"/>
      <c r="C78" s="108"/>
      <c r="D78" s="108"/>
      <c r="E78" s="108"/>
      <c r="F78" s="108"/>
      <c r="G78" s="108"/>
      <c r="H78" s="37">
        <f>O23*0.082</f>
        <v>468.28560000000004</v>
      </c>
      <c r="I78" s="38"/>
      <c r="J78" s="38"/>
      <c r="K78" s="35"/>
      <c r="L78" s="69"/>
    </row>
    <row r="79" spans="1:12" ht="12.75">
      <c r="A79" s="30"/>
      <c r="B79" s="30"/>
      <c r="C79" s="30"/>
      <c r="D79" s="30"/>
      <c r="E79" s="30"/>
      <c r="F79" s="30"/>
      <c r="G79" s="30"/>
      <c r="H79" s="37"/>
      <c r="I79" s="38"/>
      <c r="J79" s="38"/>
      <c r="K79" s="35"/>
      <c r="L79" s="69"/>
    </row>
    <row r="80" spans="1:13" ht="12.75">
      <c r="A80" s="108" t="s">
        <v>1077</v>
      </c>
      <c r="B80" s="108"/>
      <c r="C80" s="108"/>
      <c r="D80" s="108"/>
      <c r="E80" s="108"/>
      <c r="F80" s="108"/>
      <c r="G80" s="108"/>
      <c r="H80" s="31">
        <f>O23*0.023*1.229</f>
        <v>161.4271836</v>
      </c>
      <c r="I80" s="33"/>
      <c r="J80" s="33"/>
      <c r="K80" s="35"/>
      <c r="M80" s="65" t="e">
        <f>36646.37/309083*#REF!</f>
        <v>#REF!</v>
      </c>
    </row>
    <row r="81" spans="1:11" ht="12.75">
      <c r="A81" s="30"/>
      <c r="B81" s="30"/>
      <c r="C81" s="30"/>
      <c r="D81" s="30"/>
      <c r="E81" s="30"/>
      <c r="F81" s="30"/>
      <c r="G81" s="30"/>
      <c r="H81" s="31"/>
      <c r="I81" s="33"/>
      <c r="J81" s="33"/>
      <c r="K81" s="35"/>
    </row>
    <row r="82" spans="1:11" ht="12.75">
      <c r="A82" s="111" t="s">
        <v>442</v>
      </c>
      <c r="B82" s="111"/>
      <c r="C82" s="111"/>
      <c r="D82" s="111"/>
      <c r="E82" s="111"/>
      <c r="F82" s="111"/>
      <c r="G82" s="111"/>
      <c r="H82" s="31">
        <v>300</v>
      </c>
      <c r="I82" s="33"/>
      <c r="J82" s="33"/>
      <c r="K82" s="35"/>
    </row>
    <row r="83" spans="1:11" ht="12.75">
      <c r="A83" s="36"/>
      <c r="B83" s="36"/>
      <c r="C83" s="36"/>
      <c r="D83" s="36"/>
      <c r="E83" s="36"/>
      <c r="F83" s="36"/>
      <c r="G83" s="36"/>
      <c r="H83" s="31"/>
      <c r="I83" s="33"/>
      <c r="J83" s="33"/>
      <c r="K83" s="35"/>
    </row>
    <row r="84" spans="1:11" ht="12.75">
      <c r="A84" s="41" t="s">
        <v>120</v>
      </c>
      <c r="B84" s="41"/>
      <c r="C84" s="41"/>
      <c r="D84" s="41"/>
      <c r="E84" s="40"/>
      <c r="F84" s="40"/>
      <c r="G84" s="40"/>
      <c r="H84" s="31">
        <v>350</v>
      </c>
      <c r="I84" s="40"/>
      <c r="J84" s="40"/>
      <c r="K84" s="35"/>
    </row>
    <row r="85" spans="1:11" ht="12.75">
      <c r="A85" s="41"/>
      <c r="B85" s="41"/>
      <c r="C85" s="41"/>
      <c r="D85" s="41"/>
      <c r="E85" s="40"/>
      <c r="F85" s="40"/>
      <c r="G85" s="40"/>
      <c r="H85" s="31"/>
      <c r="I85" s="40"/>
      <c r="J85" s="40"/>
      <c r="K85" s="35"/>
    </row>
    <row r="86" spans="1:11" ht="12.75">
      <c r="A86" s="108" t="s">
        <v>376</v>
      </c>
      <c r="B86" s="108"/>
      <c r="C86" s="108"/>
      <c r="D86" s="108"/>
      <c r="E86" s="108"/>
      <c r="F86" s="108"/>
      <c r="G86" s="120"/>
      <c r="H86" s="37">
        <v>500</v>
      </c>
      <c r="I86" s="38"/>
      <c r="J86" s="38"/>
      <c r="K86" s="35"/>
    </row>
    <row r="87" spans="1:11" ht="12.75" customHeight="1" hidden="1">
      <c r="A87" s="38"/>
      <c r="B87" s="38"/>
      <c r="C87" s="38"/>
      <c r="D87" s="40"/>
      <c r="E87" s="40"/>
      <c r="F87" s="40"/>
      <c r="G87" s="40"/>
      <c r="H87" s="121"/>
      <c r="I87" s="40"/>
      <c r="J87" s="40"/>
      <c r="K87" s="122"/>
    </row>
    <row r="88" spans="1:11" ht="12.75" customHeight="1">
      <c r="A88" s="38"/>
      <c r="B88" s="38"/>
      <c r="C88" s="38"/>
      <c r="D88" s="40"/>
      <c r="E88" s="40"/>
      <c r="F88" s="40"/>
      <c r="G88" s="40"/>
      <c r="H88" s="121"/>
      <c r="I88" s="40"/>
      <c r="J88" s="40"/>
      <c r="K88" s="122"/>
    </row>
    <row r="89" spans="1:11" ht="12.75">
      <c r="A89" s="38" t="s">
        <v>377</v>
      </c>
      <c r="B89" s="38"/>
      <c r="C89" s="38"/>
      <c r="D89" s="40"/>
      <c r="E89" s="40"/>
      <c r="F89" s="40"/>
      <c r="G89" s="44"/>
      <c r="H89" s="31">
        <v>500</v>
      </c>
      <c r="I89" s="40"/>
      <c r="J89" s="40"/>
      <c r="K89" s="122"/>
    </row>
    <row r="90" spans="1:11" ht="12.75">
      <c r="A90" s="38"/>
      <c r="B90" s="38"/>
      <c r="C90" s="38"/>
      <c r="D90" s="40"/>
      <c r="E90" s="40"/>
      <c r="F90" s="40"/>
      <c r="G90" s="44"/>
      <c r="H90" s="31"/>
      <c r="I90" s="40"/>
      <c r="J90" s="40"/>
      <c r="K90" s="122"/>
    </row>
    <row r="91" spans="1:13" ht="15.75">
      <c r="A91" s="110" t="s">
        <v>121</v>
      </c>
      <c r="B91" s="110"/>
      <c r="C91" s="110"/>
      <c r="D91" s="110"/>
      <c r="E91" s="42"/>
      <c r="F91" s="42"/>
      <c r="G91" s="20"/>
      <c r="H91" s="27"/>
      <c r="I91" s="20"/>
      <c r="J91" s="20"/>
      <c r="K91" s="21">
        <f>H94+H95+H97+H99</f>
        <v>4128.337320000001</v>
      </c>
      <c r="M91" s="72" t="e">
        <f>51932.37/301083*#REF!</f>
        <v>#REF!</v>
      </c>
    </row>
    <row r="92" spans="1:13" ht="15.75">
      <c r="A92" s="125"/>
      <c r="B92" s="125"/>
      <c r="C92" s="125"/>
      <c r="D92" s="125"/>
      <c r="E92" s="130"/>
      <c r="F92" s="130"/>
      <c r="G92" s="54"/>
      <c r="H92" s="131"/>
      <c r="I92" s="54"/>
      <c r="J92" s="54"/>
      <c r="K92" s="56"/>
      <c r="M92" s="72"/>
    </row>
    <row r="93" spans="1:11" ht="12.75">
      <c r="A93" s="111" t="s">
        <v>122</v>
      </c>
      <c r="B93" s="111"/>
      <c r="C93" s="111"/>
      <c r="D93" s="111"/>
      <c r="E93" s="111"/>
      <c r="F93" s="111"/>
      <c r="G93" s="36"/>
      <c r="H93" s="37"/>
      <c r="I93" s="36"/>
      <c r="J93" s="36"/>
      <c r="K93" s="35"/>
    </row>
    <row r="94" spans="1:11" ht="12.75">
      <c r="A94" s="36" t="s">
        <v>1078</v>
      </c>
      <c r="B94" s="36"/>
      <c r="C94" s="36"/>
      <c r="D94" s="36"/>
      <c r="E94" s="36"/>
      <c r="F94" s="36"/>
      <c r="G94" s="36"/>
      <c r="H94" s="37">
        <f>0.2227*O23</f>
        <v>1271.7951600000001</v>
      </c>
      <c r="I94" s="36"/>
      <c r="J94" s="36"/>
      <c r="K94" s="35"/>
    </row>
    <row r="95" spans="1:11" ht="12.75">
      <c r="A95" s="30" t="s">
        <v>1079</v>
      </c>
      <c r="B95" s="43"/>
      <c r="C95" s="30"/>
      <c r="D95" s="30"/>
      <c r="E95" s="44"/>
      <c r="F95" s="38"/>
      <c r="G95" s="38"/>
      <c r="H95" s="37">
        <f>0.0257*O23</f>
        <v>146.76756</v>
      </c>
      <c r="I95" s="38"/>
      <c r="J95" s="38"/>
      <c r="K95" s="35"/>
    </row>
    <row r="96" spans="1:11" ht="12.75">
      <c r="A96" s="30"/>
      <c r="B96" s="43"/>
      <c r="C96" s="30"/>
      <c r="D96" s="30"/>
      <c r="E96" s="44"/>
      <c r="F96" s="38"/>
      <c r="G96" s="38"/>
      <c r="H96" s="37"/>
      <c r="I96" s="38"/>
      <c r="J96" s="38"/>
      <c r="K96" s="35"/>
    </row>
    <row r="97" spans="1:11" ht="12.75">
      <c r="A97" s="111" t="s">
        <v>1080</v>
      </c>
      <c r="B97" s="111"/>
      <c r="C97" s="111"/>
      <c r="D97" s="111"/>
      <c r="E97" s="111"/>
      <c r="F97" s="38"/>
      <c r="G97" s="38"/>
      <c r="H97" s="37">
        <f>0.0945*O23</f>
        <v>539.6706</v>
      </c>
      <c r="I97" s="38"/>
      <c r="J97" s="38"/>
      <c r="K97" s="35"/>
    </row>
    <row r="98" spans="1:11" ht="12.75">
      <c r="A98" s="36"/>
      <c r="B98" s="36"/>
      <c r="C98" s="36"/>
      <c r="D98" s="36"/>
      <c r="E98" s="36"/>
      <c r="F98" s="38"/>
      <c r="G98" s="38"/>
      <c r="H98" s="37"/>
      <c r="I98" s="38"/>
      <c r="J98" s="38"/>
      <c r="K98" s="35"/>
    </row>
    <row r="99" spans="1:11" ht="12.75">
      <c r="A99" s="36" t="s">
        <v>1081</v>
      </c>
      <c r="B99" s="36"/>
      <c r="C99" s="36"/>
      <c r="D99" s="36"/>
      <c r="E99" s="36"/>
      <c r="F99" s="38"/>
      <c r="G99" s="38"/>
      <c r="H99" s="37">
        <f>0.38*O23</f>
        <v>2170.1040000000003</v>
      </c>
      <c r="I99" s="38"/>
      <c r="J99" s="38"/>
      <c r="K99" s="45"/>
    </row>
    <row r="100" spans="1:11" ht="12.75">
      <c r="A100" s="30"/>
      <c r="B100" s="30"/>
      <c r="C100" s="30"/>
      <c r="D100" s="30"/>
      <c r="E100" s="38"/>
      <c r="F100" s="38"/>
      <c r="G100" s="38"/>
      <c r="H100" s="37"/>
      <c r="I100" s="38"/>
      <c r="J100" s="38"/>
      <c r="K100" s="35"/>
    </row>
    <row r="101" spans="1:13" ht="15.75">
      <c r="A101" s="26" t="s">
        <v>127</v>
      </c>
      <c r="B101" s="26"/>
      <c r="C101" s="26"/>
      <c r="D101" s="26"/>
      <c r="E101" s="26"/>
      <c r="F101" s="26"/>
      <c r="G101" s="26"/>
      <c r="H101" s="46"/>
      <c r="I101" s="20"/>
      <c r="J101" s="20"/>
      <c r="K101" s="21">
        <f>O23*0.94</f>
        <v>5368.152</v>
      </c>
      <c r="M101" s="71" t="e">
        <f>231179.9/309083*#REF!</f>
        <v>#REF!</v>
      </c>
    </row>
    <row r="102" spans="1:11" ht="15.75">
      <c r="A102" s="47"/>
      <c r="B102" s="47"/>
      <c r="C102" s="112" t="s">
        <v>64</v>
      </c>
      <c r="D102" s="112"/>
      <c r="E102" s="47"/>
      <c r="F102" s="47"/>
      <c r="G102" s="47"/>
      <c r="H102" s="48"/>
      <c r="I102" s="47"/>
      <c r="J102" s="47"/>
      <c r="K102" s="49"/>
    </row>
    <row r="103" spans="1:11" ht="12.75">
      <c r="A103" s="30" t="s">
        <v>128</v>
      </c>
      <c r="B103" s="30"/>
      <c r="C103" s="30"/>
      <c r="D103" s="30"/>
      <c r="E103" s="30"/>
      <c r="F103" s="30"/>
      <c r="G103" s="30"/>
      <c r="H103" s="37"/>
      <c r="I103" s="38"/>
      <c r="J103" s="38"/>
      <c r="K103" s="35"/>
    </row>
    <row r="104" spans="1:11" ht="12.75">
      <c r="A104" s="30"/>
      <c r="B104" s="30"/>
      <c r="C104" s="30"/>
      <c r="D104" s="30"/>
      <c r="E104" s="30"/>
      <c r="F104" s="30"/>
      <c r="G104" s="30"/>
      <c r="H104" s="37"/>
      <c r="I104" s="38"/>
      <c r="J104" s="38"/>
      <c r="K104" s="35"/>
    </row>
    <row r="105" spans="1:11" ht="12.75">
      <c r="A105" s="30" t="s">
        <v>129</v>
      </c>
      <c r="B105" s="43"/>
      <c r="C105" s="30"/>
      <c r="D105" s="30"/>
      <c r="E105" s="30"/>
      <c r="F105" s="44"/>
      <c r="G105" s="44"/>
      <c r="H105" s="37"/>
      <c r="I105" s="38"/>
      <c r="J105" s="38"/>
      <c r="K105" s="35"/>
    </row>
    <row r="106" spans="1:11" ht="12.75">
      <c r="A106" s="30"/>
      <c r="B106" s="43"/>
      <c r="C106" s="30"/>
      <c r="D106" s="30"/>
      <c r="E106" s="30"/>
      <c r="F106" s="44"/>
      <c r="G106" s="44"/>
      <c r="H106" s="37"/>
      <c r="I106" s="38"/>
      <c r="J106" s="38"/>
      <c r="K106" s="35"/>
    </row>
    <row r="107" spans="1:11" ht="12.75">
      <c r="A107" s="108" t="s">
        <v>130</v>
      </c>
      <c r="B107" s="108"/>
      <c r="C107" s="108"/>
      <c r="D107" s="108"/>
      <c r="E107" s="108"/>
      <c r="F107" s="108"/>
      <c r="G107" s="44"/>
      <c r="H107" s="37"/>
      <c r="I107" s="38"/>
      <c r="J107" s="38"/>
      <c r="K107" s="35"/>
    </row>
    <row r="108" spans="1:11" ht="12.75">
      <c r="A108" s="30"/>
      <c r="B108" s="30"/>
      <c r="C108" s="30"/>
      <c r="D108" s="30"/>
      <c r="E108" s="30"/>
      <c r="F108" s="30"/>
      <c r="G108" s="44"/>
      <c r="H108" s="37"/>
      <c r="I108" s="38"/>
      <c r="J108" s="38"/>
      <c r="K108" s="35"/>
    </row>
    <row r="109" spans="1:11" ht="12.75">
      <c r="A109" s="108" t="s">
        <v>131</v>
      </c>
      <c r="B109" s="108"/>
      <c r="C109" s="108"/>
      <c r="D109" s="108"/>
      <c r="E109" s="108"/>
      <c r="F109" s="108"/>
      <c r="G109" s="108"/>
      <c r="H109" s="37"/>
      <c r="I109" s="38"/>
      <c r="J109" s="38"/>
      <c r="K109" s="35"/>
    </row>
    <row r="110" spans="1:11" ht="12.75">
      <c r="A110" s="30"/>
      <c r="B110" s="30"/>
      <c r="C110" s="30"/>
      <c r="D110" s="30"/>
      <c r="E110" s="30"/>
      <c r="F110" s="30"/>
      <c r="G110" s="30"/>
      <c r="H110" s="37"/>
      <c r="I110" s="38"/>
      <c r="J110" s="38"/>
      <c r="K110" s="35"/>
    </row>
    <row r="111" spans="1:11" ht="12.75">
      <c r="A111" s="108" t="s">
        <v>132</v>
      </c>
      <c r="B111" s="108"/>
      <c r="C111" s="108"/>
      <c r="D111" s="108"/>
      <c r="E111" s="109"/>
      <c r="F111" s="109"/>
      <c r="G111" s="109"/>
      <c r="H111" s="37"/>
      <c r="I111" s="38"/>
      <c r="J111" s="38"/>
      <c r="K111" s="35"/>
    </row>
    <row r="112" spans="1:11" ht="12.75">
      <c r="A112" s="30"/>
      <c r="B112" s="30"/>
      <c r="C112" s="30"/>
      <c r="D112" s="30"/>
      <c r="E112" s="50"/>
      <c r="F112" s="50"/>
      <c r="G112" s="50"/>
      <c r="H112" s="37"/>
      <c r="I112" s="38"/>
      <c r="J112" s="38"/>
      <c r="K112" s="35"/>
    </row>
    <row r="113" spans="1:11" ht="12.75">
      <c r="A113" s="108" t="s">
        <v>133</v>
      </c>
      <c r="B113" s="108"/>
      <c r="C113" s="108"/>
      <c r="D113" s="108"/>
      <c r="E113" s="108"/>
      <c r="F113" s="44"/>
      <c r="G113" s="44"/>
      <c r="H113" s="37"/>
      <c r="I113" s="38"/>
      <c r="J113" s="38"/>
      <c r="K113" s="35"/>
    </row>
    <row r="114" spans="1:11" ht="12.75">
      <c r="A114" s="30"/>
      <c r="B114" s="30"/>
      <c r="C114" s="30"/>
      <c r="D114" s="30"/>
      <c r="E114" s="30"/>
      <c r="F114" s="44"/>
      <c r="G114" s="44"/>
      <c r="H114" s="37"/>
      <c r="I114" s="38"/>
      <c r="J114" s="38"/>
      <c r="K114" s="35"/>
    </row>
    <row r="115" spans="1:11" ht="12.75">
      <c r="A115" s="44" t="s">
        <v>134</v>
      </c>
      <c r="B115" s="44"/>
      <c r="C115" s="44"/>
      <c r="D115" s="44"/>
      <c r="E115" s="44"/>
      <c r="F115" s="44"/>
      <c r="G115" s="44"/>
      <c r="H115" s="37"/>
      <c r="I115" s="38"/>
      <c r="J115" s="38"/>
      <c r="K115" s="35"/>
    </row>
    <row r="116" spans="1:11" ht="12.75">
      <c r="A116" s="22"/>
      <c r="B116" s="22"/>
      <c r="C116" s="22"/>
      <c r="D116" s="22"/>
      <c r="E116" s="22"/>
      <c r="F116" s="22"/>
      <c r="G116" s="22"/>
      <c r="H116" s="28"/>
      <c r="I116" s="22"/>
      <c r="J116" s="22"/>
      <c r="K116" s="29"/>
    </row>
    <row r="117" spans="1:13" ht="15.75">
      <c r="A117" s="20" t="s">
        <v>135</v>
      </c>
      <c r="B117" s="20"/>
      <c r="C117" s="20"/>
      <c r="D117" s="20"/>
      <c r="E117" s="20"/>
      <c r="F117" s="51"/>
      <c r="G117" s="51"/>
      <c r="H117" s="52"/>
      <c r="I117" s="51"/>
      <c r="J117" s="51"/>
      <c r="K117" s="21">
        <f>0.0205*O23</f>
        <v>117.07140000000001</v>
      </c>
      <c r="L117" s="72" t="e">
        <f>K117/309084*#REF!</f>
        <v>#REF!</v>
      </c>
      <c r="M117" s="72" t="e">
        <f>L117/309084*#REF!</f>
        <v>#REF!</v>
      </c>
    </row>
    <row r="118" spans="1:13" ht="15.75">
      <c r="A118" s="53"/>
      <c r="B118" s="54"/>
      <c r="C118" s="54"/>
      <c r="D118" s="54"/>
      <c r="E118" s="54"/>
      <c r="F118" s="53"/>
      <c r="G118" s="53"/>
      <c r="H118" s="55"/>
      <c r="I118" s="53"/>
      <c r="J118" s="53"/>
      <c r="K118" s="56"/>
      <c r="L118" s="72"/>
      <c r="M118" s="72"/>
    </row>
    <row r="119" spans="1:11" ht="15.75">
      <c r="A119" s="57" t="s">
        <v>136</v>
      </c>
      <c r="B119" s="57"/>
      <c r="C119" s="57"/>
      <c r="D119" s="58"/>
      <c r="E119" s="58"/>
      <c r="F119" s="58"/>
      <c r="G119" s="58"/>
      <c r="H119" s="59"/>
      <c r="I119" s="58"/>
      <c r="J119" s="58"/>
      <c r="K119" s="60">
        <f>K17*6%</f>
        <v>3069.011189841272</v>
      </c>
    </row>
    <row r="120" spans="1:11" ht="15">
      <c r="A120" s="58"/>
      <c r="B120" s="61"/>
      <c r="C120" s="61"/>
      <c r="D120" s="61"/>
      <c r="E120" s="61"/>
      <c r="F120" s="61"/>
      <c r="G120" s="61"/>
      <c r="H120" s="62"/>
      <c r="I120" s="58"/>
      <c r="J120" s="58"/>
      <c r="K120" s="58"/>
    </row>
    <row r="121" spans="1:11" ht="15.75">
      <c r="A121" s="63" t="s">
        <v>137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4">
        <f>K119+K17</f>
        <v>54219.19768719581</v>
      </c>
    </row>
    <row r="122" spans="1:1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4"/>
    </row>
    <row r="123" spans="1:11" ht="15.75">
      <c r="A123" s="63" t="s">
        <v>138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4">
        <f>K121/O23</f>
        <v>9.494151027385971</v>
      </c>
    </row>
    <row r="124" spans="1:1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4"/>
    </row>
    <row r="125" spans="1:11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4"/>
    </row>
    <row r="126" spans="7:11" ht="12.75">
      <c r="G126" s="123"/>
      <c r="H126" s="123"/>
      <c r="I126" s="123"/>
      <c r="J126" s="123"/>
      <c r="K126" s="123"/>
    </row>
    <row r="132" spans="3:9" s="65" customFormat="1" ht="15.75">
      <c r="C132" s="106" t="s">
        <v>139</v>
      </c>
      <c r="D132" s="107"/>
      <c r="E132" s="107"/>
      <c r="F132" s="107"/>
      <c r="G132" s="107"/>
      <c r="H132" s="107"/>
      <c r="I132" s="107"/>
    </row>
    <row r="133" spans="3:9" s="65" customFormat="1" ht="15.75">
      <c r="C133" s="74" t="s">
        <v>140</v>
      </c>
      <c r="D133" s="74" t="s">
        <v>141</v>
      </c>
      <c r="E133" s="74"/>
      <c r="F133" s="74"/>
      <c r="G133" s="75"/>
      <c r="H133" s="75"/>
      <c r="I133" s="75"/>
    </row>
    <row r="134" s="65" customFormat="1" ht="12.75"/>
    <row r="135" spans="5:8" s="65" customFormat="1" ht="12.75">
      <c r="E135" s="65" t="s">
        <v>142</v>
      </c>
      <c r="H135" s="65" t="e">
        <f>#REF!</f>
        <v>#REF!</v>
      </c>
    </row>
    <row r="136" spans="5:8" s="65" customFormat="1" ht="12.75">
      <c r="E136" s="65" t="s">
        <v>143</v>
      </c>
      <c r="H136" s="65" t="e">
        <f>#REF!</f>
        <v>#REF!</v>
      </c>
    </row>
    <row r="137" spans="5:8" s="65" customFormat="1" ht="12.75">
      <c r="E137" s="65" t="s">
        <v>144</v>
      </c>
      <c r="H137" s="65" t="e">
        <f>#REF!</f>
        <v>#REF!</v>
      </c>
    </row>
    <row r="138" spans="5:8" s="65" customFormat="1" ht="12.75">
      <c r="E138" s="65" t="s">
        <v>145</v>
      </c>
      <c r="H138" s="65">
        <f>O24</f>
        <v>289</v>
      </c>
    </row>
    <row r="139" spans="5:8" s="65" customFormat="1" ht="12.75">
      <c r="E139" s="65" t="s">
        <v>146</v>
      </c>
      <c r="H139" s="65" t="e">
        <f>#REF!</f>
        <v>#REF!</v>
      </c>
    </row>
    <row r="140" s="65" customFormat="1" ht="12.75"/>
    <row r="141" spans="1:11" s="65" customFormat="1" ht="15.75">
      <c r="A141" s="105" t="s">
        <v>72</v>
      </c>
      <c r="B141" s="105"/>
      <c r="C141" s="105"/>
      <c r="D141" s="105"/>
      <c r="E141" s="105"/>
      <c r="F141" s="105"/>
      <c r="G141" s="105"/>
      <c r="H141" s="76" t="e">
        <f>H143+H145+H147+H149+H151+H153+H155</f>
        <v>#REF!</v>
      </c>
      <c r="I141" s="77" t="s">
        <v>70</v>
      </c>
      <c r="K141" s="78" t="e">
        <f>H141-20000</f>
        <v>#REF!</v>
      </c>
    </row>
    <row r="142" spans="1:7" s="65" customFormat="1" ht="12.75">
      <c r="A142" s="79"/>
      <c r="B142" s="79"/>
      <c r="C142" s="79"/>
      <c r="D142" s="79"/>
      <c r="E142" s="79"/>
      <c r="F142" s="79"/>
      <c r="G142" s="79"/>
    </row>
    <row r="143" spans="1:8" s="65" customFormat="1" ht="15.75">
      <c r="A143" s="80" t="s">
        <v>147</v>
      </c>
      <c r="B143" s="80"/>
      <c r="C143" s="80"/>
      <c r="D143" s="80"/>
      <c r="E143" s="80"/>
      <c r="F143" s="80"/>
      <c r="G143" s="80"/>
      <c r="H143" s="78">
        <f>K20</f>
        <v>9160.803575616945</v>
      </c>
    </row>
    <row r="144" spans="1:8" s="65" customFormat="1" ht="12.75">
      <c r="A144" s="79"/>
      <c r="B144" s="79"/>
      <c r="C144" s="79"/>
      <c r="D144" s="79"/>
      <c r="E144" s="79"/>
      <c r="F144" s="79"/>
      <c r="G144" s="79"/>
      <c r="H144" s="78"/>
    </row>
    <row r="145" spans="1:8" s="65" customFormat="1" ht="15.75">
      <c r="A145" s="105" t="s">
        <v>95</v>
      </c>
      <c r="B145" s="105"/>
      <c r="C145" s="105"/>
      <c r="D145" s="105"/>
      <c r="E145" s="105"/>
      <c r="F145" s="80"/>
      <c r="G145" s="80"/>
      <c r="H145" s="78">
        <f>K36</f>
        <v>9409.728622</v>
      </c>
    </row>
    <row r="146" spans="1:8" s="65" customFormat="1" ht="12.75">
      <c r="A146" s="79"/>
      <c r="B146" s="79"/>
      <c r="C146" s="79"/>
      <c r="D146" s="79"/>
      <c r="E146" s="79"/>
      <c r="F146" s="79"/>
      <c r="G146" s="79"/>
      <c r="H146" s="78"/>
    </row>
    <row r="147" spans="1:8" s="65" customFormat="1" ht="15.75">
      <c r="A147" s="105" t="s">
        <v>148</v>
      </c>
      <c r="B147" s="105"/>
      <c r="C147" s="105"/>
      <c r="D147" s="105"/>
      <c r="E147" s="105"/>
      <c r="F147" s="105"/>
      <c r="G147" s="105"/>
      <c r="H147" s="81" t="e">
        <f>#REF!</f>
        <v>#REF!</v>
      </c>
    </row>
    <row r="148" spans="1:8" s="65" customFormat="1" ht="12.75">
      <c r="A148" s="79"/>
      <c r="B148" s="79"/>
      <c r="C148" s="79"/>
      <c r="D148" s="79"/>
      <c r="E148" s="79"/>
      <c r="F148" s="79"/>
      <c r="G148" s="79"/>
      <c r="H148" s="82"/>
    </row>
    <row r="149" spans="1:8" s="65" customFormat="1" ht="15.75">
      <c r="A149" s="80" t="s">
        <v>111</v>
      </c>
      <c r="B149" s="80"/>
      <c r="C149" s="80"/>
      <c r="D149" s="80"/>
      <c r="E149" s="80"/>
      <c r="F149" s="80"/>
      <c r="G149" s="80"/>
      <c r="H149" s="82" t="e">
        <f>M64</f>
        <v>#REF!</v>
      </c>
    </row>
    <row r="150" spans="1:8" s="65" customFormat="1" ht="12.75">
      <c r="A150" s="79"/>
      <c r="B150" s="79"/>
      <c r="C150" s="79"/>
      <c r="D150" s="79"/>
      <c r="E150" s="79"/>
      <c r="F150" s="79"/>
      <c r="G150" s="79"/>
      <c r="H150" s="82"/>
    </row>
    <row r="151" spans="1:8" s="65" customFormat="1" ht="15.75">
      <c r="A151" s="105" t="s">
        <v>149</v>
      </c>
      <c r="B151" s="105"/>
      <c r="C151" s="105"/>
      <c r="D151" s="105"/>
      <c r="E151" s="80"/>
      <c r="F151" s="80"/>
      <c r="G151" s="80"/>
      <c r="H151" s="81" t="e">
        <f>M91</f>
        <v>#REF!</v>
      </c>
    </row>
    <row r="152" spans="1:8" s="65" customFormat="1" ht="12.75">
      <c r="A152" s="79"/>
      <c r="B152" s="79"/>
      <c r="C152" s="79"/>
      <c r="D152" s="79"/>
      <c r="E152" s="79"/>
      <c r="F152" s="79"/>
      <c r="G152" s="79"/>
      <c r="H152" s="82"/>
    </row>
    <row r="153" spans="1:8" s="65" customFormat="1" ht="15.75">
      <c r="A153" s="83" t="s">
        <v>127</v>
      </c>
      <c r="B153" s="83"/>
      <c r="C153" s="83"/>
      <c r="D153" s="83"/>
      <c r="E153" s="83"/>
      <c r="F153" s="83"/>
      <c r="G153" s="83"/>
      <c r="H153" s="81" t="e">
        <f>M101</f>
        <v>#REF!</v>
      </c>
    </row>
    <row r="154" spans="1:8" s="65" customFormat="1" ht="12.75">
      <c r="A154" s="79"/>
      <c r="B154" s="79"/>
      <c r="C154" s="79"/>
      <c r="D154" s="79"/>
      <c r="E154" s="79"/>
      <c r="F154" s="79"/>
      <c r="G154" s="79"/>
      <c r="H154" s="82"/>
    </row>
    <row r="155" spans="1:8" s="65" customFormat="1" ht="15.75">
      <c r="A155" s="80" t="s">
        <v>150</v>
      </c>
      <c r="B155" s="80"/>
      <c r="C155" s="80"/>
      <c r="D155" s="80"/>
      <c r="E155" s="80"/>
      <c r="F155" s="84"/>
      <c r="G155" s="84"/>
      <c r="H155" s="81" t="e">
        <f>L117</f>
        <v>#REF!</v>
      </c>
    </row>
    <row r="156" s="65" customFormat="1" ht="12.75"/>
    <row r="157" s="65" customFormat="1" ht="12.75"/>
    <row r="158" s="65" customFormat="1" ht="12.75">
      <c r="H158" s="65" t="s">
        <v>151</v>
      </c>
    </row>
    <row r="159" s="65" customFormat="1" ht="12.75">
      <c r="H159" s="65" t="s">
        <v>146</v>
      </c>
    </row>
    <row r="160" s="65" customFormat="1" ht="12.75">
      <c r="H160" s="65" t="s">
        <v>152</v>
      </c>
    </row>
    <row r="161" s="65" customFormat="1" ht="12.75"/>
    <row r="162" s="65" customFormat="1" ht="12.75"/>
    <row r="163" s="65" customFormat="1" ht="12.75">
      <c r="F163" s="65" t="s">
        <v>153</v>
      </c>
    </row>
    <row r="164" s="65" customFormat="1" ht="12.75">
      <c r="D164" s="65" t="s">
        <v>154</v>
      </c>
    </row>
    <row r="165" s="65" customFormat="1" ht="12.75">
      <c r="D165" s="65" t="s">
        <v>155</v>
      </c>
    </row>
    <row r="166" spans="6:13" s="65" customFormat="1" ht="12.75">
      <c r="F166" s="65" t="s">
        <v>156</v>
      </c>
      <c r="M166" s="65" t="s">
        <v>157</v>
      </c>
    </row>
    <row r="167" s="65" customFormat="1" ht="12.75">
      <c r="M167" s="65" t="s">
        <v>158</v>
      </c>
    </row>
    <row r="168" spans="1:13" s="65" customFormat="1" ht="12.75">
      <c r="A168" s="65" t="s">
        <v>159</v>
      </c>
      <c r="B168" s="65" t="s">
        <v>160</v>
      </c>
      <c r="D168" s="65" t="s">
        <v>161</v>
      </c>
      <c r="F168" s="65" t="s">
        <v>162</v>
      </c>
      <c r="G168" s="65" t="s">
        <v>163</v>
      </c>
      <c r="H168" s="65" t="s">
        <v>164</v>
      </c>
      <c r="J168" s="65" t="s">
        <v>165</v>
      </c>
      <c r="M168" s="73" t="s">
        <v>166</v>
      </c>
    </row>
    <row r="169" spans="1:14" s="65" customFormat="1" ht="12.75">
      <c r="A169" s="65" t="s">
        <v>167</v>
      </c>
      <c r="B169" s="65" t="s">
        <v>168</v>
      </c>
      <c r="D169" s="65" t="s">
        <v>169</v>
      </c>
      <c r="F169" s="65" t="s">
        <v>170</v>
      </c>
      <c r="G169" s="65" t="s">
        <v>171</v>
      </c>
      <c r="H169" s="65" t="s">
        <v>172</v>
      </c>
      <c r="J169" s="65" t="s">
        <v>173</v>
      </c>
      <c r="M169" s="65" t="s">
        <v>174</v>
      </c>
      <c r="N169" s="65">
        <v>6076.3</v>
      </c>
    </row>
    <row r="170" spans="8:9" s="65" customFormat="1" ht="12.75">
      <c r="H170" s="65" t="s">
        <v>175</v>
      </c>
      <c r="I170" s="65" t="s">
        <v>176</v>
      </c>
    </row>
    <row r="171" spans="8:13" s="65" customFormat="1" ht="12.75">
      <c r="H171" s="65" t="s">
        <v>170</v>
      </c>
      <c r="I171" s="65" t="s">
        <v>177</v>
      </c>
      <c r="M171" s="65" t="s">
        <v>178</v>
      </c>
    </row>
    <row r="172" spans="9:13" s="65" customFormat="1" ht="12.75">
      <c r="I172" s="65" t="s">
        <v>179</v>
      </c>
      <c r="M172" s="65" t="s">
        <v>158</v>
      </c>
    </row>
    <row r="173" s="65" customFormat="1" ht="12.75">
      <c r="M173" s="73" t="s">
        <v>166</v>
      </c>
    </row>
    <row r="174" spans="1:14" s="65" customFormat="1" ht="12.75">
      <c r="A174" s="65" t="s">
        <v>180</v>
      </c>
      <c r="B174" s="65" t="s">
        <v>181</v>
      </c>
      <c r="D174" s="65" t="s">
        <v>182</v>
      </c>
      <c r="M174" s="65" t="s">
        <v>174</v>
      </c>
      <c r="N174" s="65">
        <v>1360.8</v>
      </c>
    </row>
    <row r="175" spans="2:4" s="65" customFormat="1" ht="12.75">
      <c r="B175" s="65" t="s">
        <v>183</v>
      </c>
      <c r="D175" s="65" t="s">
        <v>184</v>
      </c>
    </row>
    <row r="176" spans="2:13" s="65" customFormat="1" ht="12.75">
      <c r="B176" s="65" t="s">
        <v>185</v>
      </c>
      <c r="D176" s="65" t="s">
        <v>186</v>
      </c>
      <c r="M176" s="65" t="s">
        <v>187</v>
      </c>
    </row>
    <row r="177" spans="2:13" s="65" customFormat="1" ht="12.75">
      <c r="B177" s="65" t="s">
        <v>188</v>
      </c>
      <c r="D177" s="65" t="s">
        <v>189</v>
      </c>
      <c r="M177" s="65" t="s">
        <v>158</v>
      </c>
    </row>
    <row r="178" spans="2:13" s="65" customFormat="1" ht="12.75">
      <c r="B178" s="65" t="s">
        <v>190</v>
      </c>
      <c r="M178" s="73" t="s">
        <v>166</v>
      </c>
    </row>
    <row r="179" spans="4:14" s="65" customFormat="1" ht="12.75">
      <c r="D179" s="65" t="s">
        <v>191</v>
      </c>
      <c r="M179" s="65" t="s">
        <v>174</v>
      </c>
      <c r="N179" s="65">
        <v>2721.6</v>
      </c>
    </row>
    <row r="180" spans="4:6" s="65" customFormat="1" ht="12.75">
      <c r="D180" s="65" t="s">
        <v>192</v>
      </c>
      <c r="F180" s="65" t="s">
        <v>193</v>
      </c>
    </row>
    <row r="181" spans="4:13" s="65" customFormat="1" ht="12.75">
      <c r="D181" s="65" t="s">
        <v>158</v>
      </c>
      <c r="F181" s="65" t="s">
        <v>194</v>
      </c>
      <c r="H181" s="65">
        <v>0.0687</v>
      </c>
      <c r="I181" s="65">
        <v>0</v>
      </c>
      <c r="K181" s="65">
        <f>N172/1000*H181</f>
        <v>0</v>
      </c>
      <c r="M181" s="65" t="s">
        <v>195</v>
      </c>
    </row>
    <row r="182" spans="4:13" s="65" customFormat="1" ht="12.75">
      <c r="D182" s="65" t="s">
        <v>196</v>
      </c>
      <c r="F182" s="65" t="s">
        <v>197</v>
      </c>
      <c r="H182" s="65">
        <v>0.0763</v>
      </c>
      <c r="I182" s="65">
        <v>0</v>
      </c>
      <c r="K182" s="65">
        <f>N173/1000*H182</f>
        <v>0</v>
      </c>
      <c r="M182" s="65" t="s">
        <v>158</v>
      </c>
    </row>
    <row r="183" spans="4:13" s="65" customFormat="1" ht="12.75">
      <c r="D183" s="65" t="s">
        <v>198</v>
      </c>
      <c r="F183" s="65" t="s">
        <v>199</v>
      </c>
      <c r="H183" s="65">
        <v>0.0839</v>
      </c>
      <c r="I183" s="65">
        <v>0</v>
      </c>
      <c r="K183" s="69">
        <f>N174/1000*H183</f>
        <v>0.11417112</v>
      </c>
      <c r="M183" s="73" t="s">
        <v>166</v>
      </c>
    </row>
    <row r="184" spans="6:13" s="65" customFormat="1" ht="12.75">
      <c r="F184" s="65" t="s">
        <v>200</v>
      </c>
      <c r="M184" s="65" t="s">
        <v>174</v>
      </c>
    </row>
    <row r="185" s="65" customFormat="1" ht="12.75">
      <c r="F185" s="65" t="s">
        <v>190</v>
      </c>
    </row>
    <row r="186" spans="5:9" s="65" customFormat="1" ht="12.75">
      <c r="E186" s="65" t="s">
        <v>201</v>
      </c>
      <c r="I186" s="65">
        <v>0</v>
      </c>
    </row>
    <row r="187" spans="2:4" s="65" customFormat="1" ht="12.75">
      <c r="B187" s="65" t="s">
        <v>202</v>
      </c>
      <c r="D187" s="65" t="s">
        <v>203</v>
      </c>
    </row>
    <row r="188" s="65" customFormat="1" ht="12.75">
      <c r="D188" s="65" t="s">
        <v>204</v>
      </c>
    </row>
    <row r="189" s="65" customFormat="1" ht="12.75">
      <c r="D189" s="65" t="s">
        <v>205</v>
      </c>
    </row>
    <row r="190" s="65" customFormat="1" ht="12.75">
      <c r="D190" s="65" t="s">
        <v>191</v>
      </c>
    </row>
    <row r="191" spans="4:11" s="65" customFormat="1" ht="12.75">
      <c r="D191" s="65" t="s">
        <v>158</v>
      </c>
      <c r="H191" s="65">
        <v>0.00338</v>
      </c>
      <c r="K191" s="69">
        <f>N195/1000*H191</f>
        <v>0</v>
      </c>
    </row>
    <row r="192" spans="4:11" s="65" customFormat="1" ht="12.75">
      <c r="D192" s="65" t="s">
        <v>196</v>
      </c>
      <c r="H192" s="65">
        <v>0.00376</v>
      </c>
      <c r="K192" s="69">
        <f>N196/1000*H192</f>
        <v>0</v>
      </c>
    </row>
    <row r="193" spans="4:11" s="65" customFormat="1" ht="12.75">
      <c r="D193" s="65" t="s">
        <v>198</v>
      </c>
      <c r="H193" s="65">
        <v>0.00414</v>
      </c>
      <c r="K193" s="69">
        <f>N197/1000*H193</f>
        <v>0.025155881999999997</v>
      </c>
    </row>
    <row r="194" s="65" customFormat="1" ht="12.75">
      <c r="M194" s="65" t="s">
        <v>206</v>
      </c>
    </row>
    <row r="195" spans="1:13" s="65" customFormat="1" ht="12.75">
      <c r="A195" s="65" t="s">
        <v>207</v>
      </c>
      <c r="B195" s="65" t="s">
        <v>208</v>
      </c>
      <c r="D195" s="65" t="s">
        <v>203</v>
      </c>
      <c r="M195" s="65" t="s">
        <v>158</v>
      </c>
    </row>
    <row r="196" spans="4:13" s="65" customFormat="1" ht="12.75">
      <c r="D196" s="65" t="s">
        <v>209</v>
      </c>
      <c r="M196" s="73" t="s">
        <v>166</v>
      </c>
    </row>
    <row r="197" spans="4:14" s="65" customFormat="1" ht="12.75">
      <c r="D197" s="65" t="s">
        <v>191</v>
      </c>
      <c r="M197" s="65" t="s">
        <v>174</v>
      </c>
      <c r="N197" s="65">
        <f>N169</f>
        <v>6076.3</v>
      </c>
    </row>
    <row r="198" spans="4:11" s="65" customFormat="1" ht="12.75">
      <c r="D198" s="65" t="s">
        <v>158</v>
      </c>
      <c r="H198" s="65">
        <v>0.02043</v>
      </c>
      <c r="I198" s="65">
        <v>0</v>
      </c>
      <c r="K198" s="65">
        <f>N182/1000*H198</f>
        <v>0</v>
      </c>
    </row>
    <row r="199" spans="4:13" s="65" customFormat="1" ht="12.75">
      <c r="D199" s="65" t="s">
        <v>196</v>
      </c>
      <c r="H199" s="65">
        <v>0.0227</v>
      </c>
      <c r="I199" s="65">
        <v>0</v>
      </c>
      <c r="K199" s="65">
        <f>N183/1000*H199</f>
        <v>0</v>
      </c>
      <c r="M199" s="65" t="s">
        <v>210</v>
      </c>
    </row>
    <row r="200" spans="4:13" s="65" customFormat="1" ht="12.75">
      <c r="D200" s="65" t="s">
        <v>198</v>
      </c>
      <c r="H200" s="65">
        <v>0.02497</v>
      </c>
      <c r="I200" s="65">
        <v>0</v>
      </c>
      <c r="K200" s="65">
        <f>N184/1000*H200</f>
        <v>0</v>
      </c>
      <c r="M200" s="65" t="s">
        <v>158</v>
      </c>
    </row>
    <row r="201" spans="4:13" s="65" customFormat="1" ht="12.75">
      <c r="D201" s="65" t="s">
        <v>211</v>
      </c>
      <c r="M201" s="73" t="s">
        <v>166</v>
      </c>
    </row>
    <row r="202" spans="4:14" s="65" customFormat="1" ht="12.75">
      <c r="D202" s="65" t="s">
        <v>191</v>
      </c>
      <c r="M202" s="65" t="s">
        <v>174</v>
      </c>
      <c r="N202" s="65">
        <v>119</v>
      </c>
    </row>
    <row r="203" spans="4:6" s="65" customFormat="1" ht="12.75">
      <c r="D203" s="65" t="s">
        <v>192</v>
      </c>
      <c r="F203" s="65" t="s">
        <v>193</v>
      </c>
    </row>
    <row r="204" spans="4:11" s="65" customFormat="1" ht="12.75">
      <c r="D204" s="65" t="s">
        <v>158</v>
      </c>
      <c r="H204" s="65">
        <v>0.00999</v>
      </c>
      <c r="K204" s="69">
        <f>N167/1000*H204</f>
        <v>0</v>
      </c>
    </row>
    <row r="205" spans="4:11" s="65" customFormat="1" ht="12.75">
      <c r="D205" s="65" t="s">
        <v>196</v>
      </c>
      <c r="H205" s="65">
        <v>0.0111</v>
      </c>
      <c r="K205" s="69">
        <f>N168/1000*H205</f>
        <v>0</v>
      </c>
    </row>
    <row r="206" spans="4:11" s="65" customFormat="1" ht="12.75">
      <c r="D206" s="65" t="s">
        <v>198</v>
      </c>
      <c r="H206" s="65">
        <v>0.01221</v>
      </c>
      <c r="I206" s="65">
        <v>0</v>
      </c>
      <c r="K206" s="69">
        <f>N169/1000*H206</f>
        <v>0.074191623</v>
      </c>
    </row>
    <row r="207" s="65" customFormat="1" ht="12.75">
      <c r="I207" s="65">
        <v>0</v>
      </c>
    </row>
    <row r="208" spans="5:9" s="65" customFormat="1" ht="12.75">
      <c r="E208" s="65" t="s">
        <v>201</v>
      </c>
      <c r="G208" s="65">
        <v>0</v>
      </c>
      <c r="I208" s="65">
        <v>0</v>
      </c>
    </row>
    <row r="209" spans="1:6" s="65" customFormat="1" ht="12.75">
      <c r="A209" s="65" t="s">
        <v>212</v>
      </c>
      <c r="B209" s="65" t="s">
        <v>213</v>
      </c>
      <c r="D209" s="65" t="s">
        <v>203</v>
      </c>
      <c r="F209" s="65" t="s">
        <v>193</v>
      </c>
    </row>
    <row r="210" spans="2:6" s="65" customFormat="1" ht="12.75">
      <c r="B210" s="65" t="s">
        <v>214</v>
      </c>
      <c r="D210" s="65" t="s">
        <v>209</v>
      </c>
      <c r="F210" s="65" t="s">
        <v>215</v>
      </c>
    </row>
    <row r="211" spans="4:6" s="65" customFormat="1" ht="12.75">
      <c r="D211" s="65" t="s">
        <v>191</v>
      </c>
      <c r="F211" s="65" t="s">
        <v>216</v>
      </c>
    </row>
    <row r="212" spans="4:11" s="65" customFormat="1" ht="12.75">
      <c r="D212" s="65" t="s">
        <v>158</v>
      </c>
      <c r="H212" s="65">
        <v>0.018432</v>
      </c>
      <c r="I212" s="65">
        <v>0</v>
      </c>
      <c r="K212" s="65">
        <f>N182/1000*H212</f>
        <v>0</v>
      </c>
    </row>
    <row r="213" spans="4:11" s="65" customFormat="1" ht="12.75">
      <c r="D213" s="65" t="s">
        <v>196</v>
      </c>
      <c r="H213" s="65">
        <v>0.02048</v>
      </c>
      <c r="I213" s="65">
        <v>0</v>
      </c>
      <c r="K213" s="65">
        <f>N183/1000*H213</f>
        <v>0</v>
      </c>
    </row>
    <row r="214" spans="4:11" s="65" customFormat="1" ht="12.75">
      <c r="D214" s="65" t="s">
        <v>198</v>
      </c>
      <c r="K214" s="65">
        <f>N184/1000*H214</f>
        <v>0</v>
      </c>
    </row>
    <row r="215" s="65" customFormat="1" ht="12.75">
      <c r="D215" s="65" t="s">
        <v>211</v>
      </c>
    </row>
    <row r="216" s="65" customFormat="1" ht="12.75">
      <c r="D216" s="65" t="s">
        <v>191</v>
      </c>
    </row>
    <row r="217" s="65" customFormat="1" ht="12.75">
      <c r="D217" s="65" t="s">
        <v>192</v>
      </c>
    </row>
    <row r="218" spans="4:11" s="65" customFormat="1" ht="12.75">
      <c r="D218" s="65" t="s">
        <v>158</v>
      </c>
      <c r="K218" s="69">
        <f>N167/1000*H218</f>
        <v>0</v>
      </c>
    </row>
    <row r="219" spans="4:11" s="65" customFormat="1" ht="12.75">
      <c r="D219" s="65" t="s">
        <v>196</v>
      </c>
      <c r="H219" s="65">
        <v>0.02295</v>
      </c>
      <c r="I219" s="65">
        <v>0</v>
      </c>
      <c r="K219" s="69">
        <f>N168/1000*H219</f>
        <v>0</v>
      </c>
    </row>
    <row r="220" spans="4:11" s="65" customFormat="1" ht="12.75">
      <c r="D220" s="65" t="s">
        <v>198</v>
      </c>
      <c r="H220" s="65">
        <v>0.025245</v>
      </c>
      <c r="I220" s="65">
        <v>0</v>
      </c>
      <c r="K220" s="69">
        <f>N169/1000*H220</f>
        <v>0.1533961935</v>
      </c>
    </row>
    <row r="221" spans="5:11" s="65" customFormat="1" ht="12.75">
      <c r="E221" s="65" t="s">
        <v>201</v>
      </c>
      <c r="G221" s="65">
        <v>0</v>
      </c>
      <c r="I221" s="65">
        <v>0</v>
      </c>
      <c r="K221" s="69"/>
    </row>
    <row r="222" s="65" customFormat="1" ht="12.75">
      <c r="K222" s="69"/>
    </row>
    <row r="223" spans="1:11" s="65" customFormat="1" ht="12.75">
      <c r="A223" s="65" t="s">
        <v>217</v>
      </c>
      <c r="B223" s="65" t="s">
        <v>218</v>
      </c>
      <c r="D223" s="65" t="s">
        <v>203</v>
      </c>
      <c r="K223" s="69"/>
    </row>
    <row r="224" spans="4:11" s="65" customFormat="1" ht="12.75">
      <c r="D224" s="65" t="s">
        <v>209</v>
      </c>
      <c r="K224" s="69"/>
    </row>
    <row r="225" spans="4:11" s="65" customFormat="1" ht="12.75">
      <c r="D225" s="65" t="s">
        <v>191</v>
      </c>
      <c r="K225" s="69"/>
    </row>
    <row r="226" spans="4:11" s="65" customFormat="1" ht="12.75">
      <c r="D226" s="65" t="s">
        <v>158</v>
      </c>
      <c r="H226" s="65">
        <v>0.027585</v>
      </c>
      <c r="I226" s="65">
        <v>0</v>
      </c>
      <c r="K226" s="69">
        <f>N182/1000*H226</f>
        <v>0</v>
      </c>
    </row>
    <row r="227" spans="4:11" s="65" customFormat="1" ht="12.75">
      <c r="D227" s="65" t="s">
        <v>196</v>
      </c>
      <c r="H227" s="65">
        <v>0.3065</v>
      </c>
      <c r="I227" s="65">
        <v>0</v>
      </c>
      <c r="K227" s="69">
        <f>N183/1000*H227</f>
        <v>0</v>
      </c>
    </row>
    <row r="228" spans="4:11" s="65" customFormat="1" ht="12.75">
      <c r="D228" s="65" t="s">
        <v>198</v>
      </c>
      <c r="K228" s="69">
        <f>N184/1000*H228</f>
        <v>0</v>
      </c>
    </row>
    <row r="229" spans="4:11" s="65" customFormat="1" ht="12.75">
      <c r="D229" s="65" t="s">
        <v>211</v>
      </c>
      <c r="K229" s="69"/>
    </row>
    <row r="230" spans="4:11" s="65" customFormat="1" ht="12.75">
      <c r="D230" s="65" t="s">
        <v>191</v>
      </c>
      <c r="K230" s="69"/>
    </row>
    <row r="231" spans="4:11" s="65" customFormat="1" ht="12.75">
      <c r="D231" s="65" t="s">
        <v>192</v>
      </c>
      <c r="K231" s="69"/>
    </row>
    <row r="232" spans="4:11" s="65" customFormat="1" ht="12.75">
      <c r="D232" s="65" t="s">
        <v>158</v>
      </c>
      <c r="K232" s="69">
        <f>N167/1000*H232</f>
        <v>0</v>
      </c>
    </row>
    <row r="233" spans="4:11" s="65" customFormat="1" ht="12.75">
      <c r="D233" s="65" t="s">
        <v>196</v>
      </c>
      <c r="H233" s="65">
        <v>0.00539</v>
      </c>
      <c r="I233" s="65">
        <v>0</v>
      </c>
      <c r="K233" s="69">
        <f>N168/1000*H233</f>
        <v>0</v>
      </c>
    </row>
    <row r="234" spans="4:11" s="65" customFormat="1" ht="12.75">
      <c r="D234" s="65" t="s">
        <v>198</v>
      </c>
      <c r="H234" s="65">
        <v>0.005929</v>
      </c>
      <c r="I234" s="65">
        <v>0</v>
      </c>
      <c r="K234" s="69">
        <f>N169/1000*H234</f>
        <v>0.0360263827</v>
      </c>
    </row>
    <row r="235" spans="5:11" s="65" customFormat="1" ht="12.75">
      <c r="E235" s="65" t="s">
        <v>201</v>
      </c>
      <c r="G235" s="65">
        <v>0</v>
      </c>
      <c r="I235" s="65">
        <v>0</v>
      </c>
      <c r="K235" s="69"/>
    </row>
    <row r="236" s="65" customFormat="1" ht="12.75">
      <c r="K236" s="69"/>
    </row>
    <row r="237" spans="1:11" s="65" customFormat="1" ht="12.75">
      <c r="A237" s="65" t="s">
        <v>219</v>
      </c>
      <c r="B237" s="65" t="s">
        <v>220</v>
      </c>
      <c r="D237" s="65" t="s">
        <v>203</v>
      </c>
      <c r="K237" s="69"/>
    </row>
    <row r="238" spans="2:11" s="65" customFormat="1" ht="12.75">
      <c r="B238" s="65" t="s">
        <v>214</v>
      </c>
      <c r="D238" s="65" t="s">
        <v>209</v>
      </c>
      <c r="K238" s="69"/>
    </row>
    <row r="239" spans="4:11" s="65" customFormat="1" ht="12.75">
      <c r="D239" s="65" t="s">
        <v>191</v>
      </c>
      <c r="K239" s="69"/>
    </row>
    <row r="240" spans="4:11" s="65" customFormat="1" ht="12.75">
      <c r="D240" s="65" t="s">
        <v>158</v>
      </c>
      <c r="H240" s="65">
        <v>0.022437</v>
      </c>
      <c r="I240" s="65">
        <v>0</v>
      </c>
      <c r="K240" s="69">
        <f>N182/1000*H240</f>
        <v>0</v>
      </c>
    </row>
    <row r="241" spans="4:11" s="65" customFormat="1" ht="12.75">
      <c r="D241" s="65" t="s">
        <v>196</v>
      </c>
      <c r="H241" s="65">
        <v>0.02493</v>
      </c>
      <c r="I241" s="65">
        <v>0</v>
      </c>
      <c r="K241" s="69">
        <f>N183/1000*H241</f>
        <v>0</v>
      </c>
    </row>
    <row r="242" spans="4:11" s="65" customFormat="1" ht="12.75">
      <c r="D242" s="65" t="s">
        <v>198</v>
      </c>
      <c r="K242" s="65">
        <f>N184/1000*H242</f>
        <v>0</v>
      </c>
    </row>
    <row r="243" s="65" customFormat="1" ht="12.75">
      <c r="D243" s="65" t="s">
        <v>211</v>
      </c>
    </row>
    <row r="244" s="65" customFormat="1" ht="12.75">
      <c r="D244" s="65" t="s">
        <v>191</v>
      </c>
    </row>
    <row r="245" s="65" customFormat="1" ht="12.75">
      <c r="D245" s="65" t="s">
        <v>192</v>
      </c>
    </row>
    <row r="246" spans="4:11" s="65" customFormat="1" ht="12.75">
      <c r="D246" s="65" t="s">
        <v>158</v>
      </c>
      <c r="K246" s="69">
        <f>N167/1000*H246</f>
        <v>0</v>
      </c>
    </row>
    <row r="247" spans="4:11" s="65" customFormat="1" ht="12.75">
      <c r="D247" s="65" t="s">
        <v>196</v>
      </c>
      <c r="H247" s="65">
        <v>0.00888</v>
      </c>
      <c r="I247" s="65">
        <v>0</v>
      </c>
      <c r="K247" s="69">
        <f>N168/1000*H247</f>
        <v>0</v>
      </c>
    </row>
    <row r="248" spans="4:11" s="65" customFormat="1" ht="12.75">
      <c r="D248" s="65" t="s">
        <v>198</v>
      </c>
      <c r="H248" s="65">
        <v>0.009768</v>
      </c>
      <c r="I248" s="65">
        <v>0</v>
      </c>
      <c r="K248" s="69">
        <f>N169/1000*H248</f>
        <v>0.059353298400000004</v>
      </c>
    </row>
    <row r="249" spans="5:11" s="65" customFormat="1" ht="12.75">
      <c r="E249" s="65" t="s">
        <v>201</v>
      </c>
      <c r="G249" s="65">
        <v>0</v>
      </c>
      <c r="I249" s="65">
        <v>0</v>
      </c>
      <c r="K249" s="69"/>
    </row>
    <row r="250" s="65" customFormat="1" ht="12.75">
      <c r="K250" s="69"/>
    </row>
    <row r="251" spans="2:4" s="65" customFormat="1" ht="12.75">
      <c r="B251" s="65" t="s">
        <v>221</v>
      </c>
      <c r="D251" s="65" t="s">
        <v>203</v>
      </c>
    </row>
    <row r="252" s="65" customFormat="1" ht="12.75">
      <c r="D252" s="65" t="s">
        <v>204</v>
      </c>
    </row>
    <row r="253" s="65" customFormat="1" ht="12.75">
      <c r="D253" s="65" t="s">
        <v>205</v>
      </c>
    </row>
    <row r="254" s="65" customFormat="1" ht="12.75">
      <c r="D254" s="65" t="s">
        <v>191</v>
      </c>
    </row>
    <row r="255" spans="4:11" s="65" customFormat="1" ht="12.75">
      <c r="D255" s="65" t="s">
        <v>158</v>
      </c>
      <c r="H255" s="65">
        <v>0.0243</v>
      </c>
      <c r="K255" s="69">
        <f>N195/1000*H255</f>
        <v>0</v>
      </c>
    </row>
    <row r="256" spans="4:11" s="65" customFormat="1" ht="12.75">
      <c r="D256" s="65" t="s">
        <v>196</v>
      </c>
      <c r="H256" s="65">
        <v>0.027</v>
      </c>
      <c r="K256" s="69">
        <f>N196/1000*H256</f>
        <v>0</v>
      </c>
    </row>
    <row r="257" spans="4:11" s="65" customFormat="1" ht="12.75">
      <c r="D257" s="65" t="s">
        <v>198</v>
      </c>
      <c r="H257" s="65">
        <v>0.0297</v>
      </c>
      <c r="K257" s="69">
        <f>N197/1000*H257</f>
        <v>0.18046610999999999</v>
      </c>
    </row>
    <row r="258" spans="1:11" s="65" customFormat="1" ht="12.75">
      <c r="A258" s="65" t="s">
        <v>222</v>
      </c>
      <c r="B258" s="65" t="s">
        <v>223</v>
      </c>
      <c r="D258" s="65" t="s">
        <v>203</v>
      </c>
      <c r="K258" s="69"/>
    </row>
    <row r="259" spans="4:11" s="65" customFormat="1" ht="12.75">
      <c r="D259" s="65" t="s">
        <v>209</v>
      </c>
      <c r="K259" s="69"/>
    </row>
    <row r="260" spans="4:11" s="65" customFormat="1" ht="12.75">
      <c r="D260" s="65" t="s">
        <v>191</v>
      </c>
      <c r="K260" s="69"/>
    </row>
    <row r="261" spans="4:11" s="65" customFormat="1" ht="12.75">
      <c r="D261" s="65" t="s">
        <v>158</v>
      </c>
      <c r="H261" s="65">
        <v>0.01773</v>
      </c>
      <c r="I261" s="65">
        <v>0</v>
      </c>
      <c r="K261" s="69">
        <f>N182/1000*H261</f>
        <v>0</v>
      </c>
    </row>
    <row r="262" spans="4:11" s="65" customFormat="1" ht="12.75">
      <c r="D262" s="65" t="s">
        <v>196</v>
      </c>
      <c r="H262" s="65">
        <v>0.0197</v>
      </c>
      <c r="I262" s="65">
        <v>0</v>
      </c>
      <c r="K262" s="69">
        <f>N183/1000*H262</f>
        <v>0</v>
      </c>
    </row>
    <row r="263" spans="4:11" s="65" customFormat="1" ht="12.75">
      <c r="D263" s="65" t="s">
        <v>198</v>
      </c>
      <c r="K263" s="69">
        <f>N184/1000*H263</f>
        <v>0</v>
      </c>
    </row>
    <row r="264" spans="4:11" s="65" customFormat="1" ht="12.75">
      <c r="D264" s="65" t="s">
        <v>211</v>
      </c>
      <c r="K264" s="69"/>
    </row>
    <row r="265" spans="4:11" s="65" customFormat="1" ht="12.75">
      <c r="D265" s="65" t="s">
        <v>191</v>
      </c>
      <c r="K265" s="69"/>
    </row>
    <row r="266" spans="4:11" s="65" customFormat="1" ht="12.75">
      <c r="D266" s="65" t="s">
        <v>192</v>
      </c>
      <c r="K266" s="69"/>
    </row>
    <row r="267" spans="4:11" s="65" customFormat="1" ht="12.75">
      <c r="D267" s="65" t="s">
        <v>158</v>
      </c>
      <c r="K267" s="69">
        <f>N167/1000*H267</f>
        <v>0</v>
      </c>
    </row>
    <row r="268" spans="4:11" s="65" customFormat="1" ht="12.75">
      <c r="D268" s="65" t="s">
        <v>196</v>
      </c>
      <c r="H268" s="65">
        <v>0.0018</v>
      </c>
      <c r="I268" s="65">
        <v>0</v>
      </c>
      <c r="K268" s="69">
        <f>N168/1000*H268</f>
        <v>0</v>
      </c>
    </row>
    <row r="269" spans="4:11" s="65" customFormat="1" ht="12.75">
      <c r="D269" s="65" t="s">
        <v>198</v>
      </c>
      <c r="H269" s="65">
        <v>0.00198</v>
      </c>
      <c r="I269" s="65">
        <v>0</v>
      </c>
      <c r="K269" s="69">
        <f>N169/1000*H269</f>
        <v>0.012031074</v>
      </c>
    </row>
    <row r="270" spans="5:11" s="65" customFormat="1" ht="12.75">
      <c r="E270" s="65" t="s">
        <v>201</v>
      </c>
      <c r="G270" s="65">
        <v>0</v>
      </c>
      <c r="I270" s="65">
        <v>0</v>
      </c>
      <c r="K270" s="69"/>
    </row>
    <row r="271" s="65" customFormat="1" ht="12.75">
      <c r="K271" s="69"/>
    </row>
    <row r="272" spans="2:7" s="65" customFormat="1" ht="12.75">
      <c r="B272" s="65" t="s">
        <v>224</v>
      </c>
      <c r="D272" s="65" t="s">
        <v>203</v>
      </c>
      <c r="G272" s="65" t="s">
        <v>225</v>
      </c>
    </row>
    <row r="273" spans="4:7" s="65" customFormat="1" ht="12.75">
      <c r="D273" s="65" t="s">
        <v>204</v>
      </c>
      <c r="G273" s="65" t="s">
        <v>226</v>
      </c>
    </row>
    <row r="274" spans="4:7" s="65" customFormat="1" ht="12.75">
      <c r="D274" s="65" t="s">
        <v>205</v>
      </c>
      <c r="G274" s="65" t="s">
        <v>227</v>
      </c>
    </row>
    <row r="275" s="65" customFormat="1" ht="12.75">
      <c r="D275" s="65" t="s">
        <v>191</v>
      </c>
    </row>
    <row r="276" spans="4:11" s="65" customFormat="1" ht="12.75">
      <c r="D276" s="65" t="s">
        <v>158</v>
      </c>
      <c r="H276" s="65">
        <v>0.02367</v>
      </c>
      <c r="K276" s="69">
        <f>N177/1000*H276</f>
        <v>0</v>
      </c>
    </row>
    <row r="277" spans="4:11" s="65" customFormat="1" ht="12.75">
      <c r="D277" s="65" t="s">
        <v>196</v>
      </c>
      <c r="H277" s="65">
        <v>0.0263</v>
      </c>
      <c r="K277" s="69">
        <f>N178/1000*H277</f>
        <v>0</v>
      </c>
    </row>
    <row r="278" spans="4:11" s="65" customFormat="1" ht="12.75">
      <c r="D278" s="65" t="s">
        <v>198</v>
      </c>
      <c r="H278" s="65">
        <v>0.02893</v>
      </c>
      <c r="K278" s="69">
        <f>N179/1000*H278</f>
        <v>0.078735888</v>
      </c>
    </row>
    <row r="279" s="65" customFormat="1" ht="12.75">
      <c r="K279" s="69"/>
    </row>
    <row r="280" spans="1:11" s="65" customFormat="1" ht="12.75">
      <c r="A280" s="65" t="s">
        <v>228</v>
      </c>
      <c r="B280" s="65" t="s">
        <v>229</v>
      </c>
      <c r="D280" s="65" t="s">
        <v>203</v>
      </c>
      <c r="K280" s="69"/>
    </row>
    <row r="281" spans="2:11" s="65" customFormat="1" ht="12.75">
      <c r="B281" s="65" t="s">
        <v>230</v>
      </c>
      <c r="D281" s="65" t="s">
        <v>209</v>
      </c>
      <c r="K281" s="69"/>
    </row>
    <row r="282" spans="4:11" s="65" customFormat="1" ht="12.75">
      <c r="D282" s="65" t="s">
        <v>191</v>
      </c>
      <c r="K282" s="69"/>
    </row>
    <row r="283" spans="4:11" s="65" customFormat="1" ht="12.75">
      <c r="D283" s="65" t="s">
        <v>158</v>
      </c>
      <c r="H283" s="65">
        <v>0.014679</v>
      </c>
      <c r="I283" s="65">
        <v>0</v>
      </c>
      <c r="K283" s="69">
        <f>N182/1000*H283</f>
        <v>0</v>
      </c>
    </row>
    <row r="284" spans="4:11" s="65" customFormat="1" ht="12.75">
      <c r="D284" s="65" t="s">
        <v>196</v>
      </c>
      <c r="H284" s="65">
        <v>0.01631</v>
      </c>
      <c r="I284" s="65">
        <v>0</v>
      </c>
      <c r="K284" s="69">
        <f>N183/1000*H284</f>
        <v>0</v>
      </c>
    </row>
    <row r="285" spans="4:11" s="65" customFormat="1" ht="12.75">
      <c r="D285" s="65" t="s">
        <v>198</v>
      </c>
      <c r="K285" s="69">
        <f>N184/1000*H285</f>
        <v>0</v>
      </c>
    </row>
    <row r="286" spans="4:11" s="65" customFormat="1" ht="12.75">
      <c r="D286" s="65" t="s">
        <v>211</v>
      </c>
      <c r="K286" s="69"/>
    </row>
    <row r="287" spans="4:11" s="65" customFormat="1" ht="12.75">
      <c r="D287" s="65" t="s">
        <v>191</v>
      </c>
      <c r="K287" s="69"/>
    </row>
    <row r="288" spans="4:11" s="65" customFormat="1" ht="12.75">
      <c r="D288" s="65" t="s">
        <v>192</v>
      </c>
      <c r="K288" s="69"/>
    </row>
    <row r="289" spans="4:11" s="65" customFormat="1" ht="12.75">
      <c r="D289" s="65" t="s">
        <v>158</v>
      </c>
      <c r="K289" s="69">
        <f>N167/1000*H289</f>
        <v>0</v>
      </c>
    </row>
    <row r="290" spans="4:11" s="65" customFormat="1" ht="12.75">
      <c r="D290" s="65" t="s">
        <v>196</v>
      </c>
      <c r="H290" s="65">
        <v>0.01631</v>
      </c>
      <c r="I290" s="65">
        <v>0</v>
      </c>
      <c r="K290" s="69">
        <f>N168/1000*H290</f>
        <v>0</v>
      </c>
    </row>
    <row r="291" spans="4:11" s="65" customFormat="1" ht="12.75">
      <c r="D291" s="65" t="s">
        <v>198</v>
      </c>
      <c r="H291" s="65">
        <v>0.017941</v>
      </c>
      <c r="I291" s="65">
        <v>0</v>
      </c>
      <c r="K291" s="69">
        <f>N169/1000*H291</f>
        <v>0.10901489829999998</v>
      </c>
    </row>
    <row r="292" spans="5:11" s="65" customFormat="1" ht="12.75">
      <c r="E292" s="65" t="s">
        <v>201</v>
      </c>
      <c r="G292" s="65">
        <v>0</v>
      </c>
      <c r="I292" s="65">
        <v>0</v>
      </c>
      <c r="K292" s="69"/>
    </row>
    <row r="293" s="65" customFormat="1" ht="12.75">
      <c r="K293" s="69"/>
    </row>
    <row r="294" spans="1:11" s="65" customFormat="1" ht="12.75">
      <c r="A294" s="65" t="s">
        <v>231</v>
      </c>
      <c r="B294" s="65" t="s">
        <v>232</v>
      </c>
      <c r="D294" s="65" t="s">
        <v>203</v>
      </c>
      <c r="K294" s="69"/>
    </row>
    <row r="295" spans="2:11" s="65" customFormat="1" ht="12.75">
      <c r="B295" s="65" t="s">
        <v>233</v>
      </c>
      <c r="D295" s="65" t="s">
        <v>211</v>
      </c>
      <c r="K295" s="69"/>
    </row>
    <row r="296" spans="4:11" s="65" customFormat="1" ht="12.75">
      <c r="D296" s="65" t="s">
        <v>209</v>
      </c>
      <c r="K296" s="69"/>
    </row>
    <row r="297" spans="4:11" s="65" customFormat="1" ht="12.75">
      <c r="D297" s="65" t="s">
        <v>234</v>
      </c>
      <c r="K297" s="69"/>
    </row>
    <row r="298" spans="4:11" s="65" customFormat="1" ht="12.75">
      <c r="D298" s="65" t="s">
        <v>235</v>
      </c>
      <c r="F298" s="65" t="s">
        <v>236</v>
      </c>
      <c r="K298" s="69"/>
    </row>
    <row r="299" spans="4:11" s="65" customFormat="1" ht="12.75">
      <c r="D299" s="65" t="s">
        <v>191</v>
      </c>
      <c r="F299" s="65" t="s">
        <v>237</v>
      </c>
      <c r="K299" s="69"/>
    </row>
    <row r="300" spans="4:11" s="65" customFormat="1" ht="12.75">
      <c r="D300" s="65" t="s">
        <v>158</v>
      </c>
      <c r="H300" s="65">
        <v>41000</v>
      </c>
      <c r="I300" s="65">
        <v>0</v>
      </c>
      <c r="K300" s="69">
        <f>N195/H300</f>
        <v>0</v>
      </c>
    </row>
    <row r="301" spans="4:11" s="65" customFormat="1" ht="12.75">
      <c r="D301" s="65" t="s">
        <v>196</v>
      </c>
      <c r="H301" s="65">
        <v>39000</v>
      </c>
      <c r="I301" s="65">
        <v>0</v>
      </c>
      <c r="K301" s="69">
        <f>N196/H301</f>
        <v>0</v>
      </c>
    </row>
    <row r="302" spans="4:11" s="65" customFormat="1" ht="12.75">
      <c r="D302" s="65" t="s">
        <v>198</v>
      </c>
      <c r="H302" s="65">
        <v>37000</v>
      </c>
      <c r="I302" s="65">
        <v>0</v>
      </c>
      <c r="K302" s="69">
        <f>N197/H302</f>
        <v>0.16422432432432432</v>
      </c>
    </row>
    <row r="303" s="65" customFormat="1" ht="12.75">
      <c r="K303" s="69"/>
    </row>
    <row r="304" spans="4:11" s="65" customFormat="1" ht="12.75">
      <c r="D304" s="65" t="s">
        <v>238</v>
      </c>
      <c r="K304" s="69"/>
    </row>
    <row r="305" spans="4:11" s="65" customFormat="1" ht="12.75">
      <c r="D305" s="65" t="s">
        <v>239</v>
      </c>
      <c r="F305" s="65" t="s">
        <v>240</v>
      </c>
      <c r="K305" s="69"/>
    </row>
    <row r="306" spans="4:11" s="65" customFormat="1" ht="12.75">
      <c r="D306" s="65" t="s">
        <v>191</v>
      </c>
      <c r="K306" s="69"/>
    </row>
    <row r="307" spans="4:11" s="65" customFormat="1" ht="12.75">
      <c r="D307" s="65" t="s">
        <v>158</v>
      </c>
      <c r="H307" s="65">
        <v>450</v>
      </c>
      <c r="I307" s="65">
        <v>0</v>
      </c>
      <c r="K307" s="69">
        <f>N200/H307</f>
        <v>0</v>
      </c>
    </row>
    <row r="308" spans="4:11" s="65" customFormat="1" ht="12.75">
      <c r="D308" s="65" t="s">
        <v>196</v>
      </c>
      <c r="H308" s="65">
        <v>375</v>
      </c>
      <c r="I308" s="65">
        <v>0</v>
      </c>
      <c r="K308" s="69">
        <f>N201/H308</f>
        <v>0</v>
      </c>
    </row>
    <row r="309" spans="4:11" s="65" customFormat="1" ht="12.75">
      <c r="D309" s="65" t="s">
        <v>198</v>
      </c>
      <c r="H309" s="65">
        <v>310</v>
      </c>
      <c r="I309" s="65">
        <v>0</v>
      </c>
      <c r="K309" s="69">
        <f>N202/H309</f>
        <v>0.38387096774193546</v>
      </c>
    </row>
    <row r="310" spans="5:11" s="65" customFormat="1" ht="12.75">
      <c r="E310" s="65" t="s">
        <v>201</v>
      </c>
      <c r="G310" s="65">
        <v>0</v>
      </c>
      <c r="I310" s="65">
        <v>0</v>
      </c>
      <c r="K310" s="69"/>
    </row>
    <row r="311" s="65" customFormat="1" ht="12.75">
      <c r="K311" s="69"/>
    </row>
    <row r="312" spans="1:11" s="65" customFormat="1" ht="12.75">
      <c r="A312" s="65" t="s">
        <v>241</v>
      </c>
      <c r="B312" s="65" t="s">
        <v>242</v>
      </c>
      <c r="D312" s="65" t="s">
        <v>243</v>
      </c>
      <c r="K312" s="69"/>
    </row>
    <row r="313" spans="4:11" s="65" customFormat="1" ht="12.75">
      <c r="D313" s="65" t="s">
        <v>244</v>
      </c>
      <c r="F313" s="65" t="s">
        <v>240</v>
      </c>
      <c r="K313" s="69"/>
    </row>
    <row r="314" spans="4:11" s="65" customFormat="1" ht="12.75">
      <c r="D314" s="65" t="s">
        <v>245</v>
      </c>
      <c r="K314" s="69"/>
    </row>
    <row r="315" spans="4:11" s="65" customFormat="1" ht="12.75">
      <c r="D315" s="65" t="s">
        <v>158</v>
      </c>
      <c r="H315" s="65">
        <v>2350</v>
      </c>
      <c r="I315" s="65">
        <v>0</v>
      </c>
      <c r="K315" s="69">
        <f>N200/H315</f>
        <v>0</v>
      </c>
    </row>
    <row r="316" spans="4:11" s="65" customFormat="1" ht="12.75">
      <c r="D316" s="65" t="s">
        <v>196</v>
      </c>
      <c r="H316" s="65">
        <v>2250</v>
      </c>
      <c r="I316" s="65">
        <v>0</v>
      </c>
      <c r="K316" s="69">
        <f>N201/H316</f>
        <v>0</v>
      </c>
    </row>
    <row r="317" spans="4:11" s="65" customFormat="1" ht="12.75">
      <c r="D317" s="65" t="s">
        <v>198</v>
      </c>
      <c r="H317" s="65">
        <v>2200</v>
      </c>
      <c r="I317" s="65">
        <v>0</v>
      </c>
      <c r="K317" s="69">
        <f>N202/H317</f>
        <v>0.05409090909090909</v>
      </c>
    </row>
    <row r="318" spans="5:11" s="65" customFormat="1" ht="12.75">
      <c r="E318" s="65" t="s">
        <v>201</v>
      </c>
      <c r="G318" s="65">
        <v>0</v>
      </c>
      <c r="I318" s="65">
        <v>0</v>
      </c>
      <c r="K318" s="69"/>
    </row>
    <row r="319" s="65" customFormat="1" ht="12.75">
      <c r="K319" s="69">
        <f>K181+K182+K183+K191+K192+K193+K198+K199+K200+K204+K205+K206+K212+K213+K214+K218+K219+K220+K226+K227+K228+K232+K233+K234+K240+K241+K242+K246+K247+K248+K255+K256+K257+K261+K262+K263+K267+K268+K269+K276+K277+K278+K283+K284+K285+K289+K290+K291+K300+K301+K302+K307+K308+K309+K315+K316+K317</f>
        <v>1.444728671057169</v>
      </c>
    </row>
    <row r="320" spans="1:11" s="65" customFormat="1" ht="12.75">
      <c r="A320" s="65" t="s">
        <v>246</v>
      </c>
      <c r="B320" s="65" t="s">
        <v>247</v>
      </c>
      <c r="F320" s="65" t="s">
        <v>248</v>
      </c>
      <c r="I320" s="65">
        <v>1</v>
      </c>
      <c r="K320" s="69">
        <f>K319*1.12</f>
        <v>1.6180961115840293</v>
      </c>
    </row>
    <row r="321" s="65" customFormat="1" ht="12.75">
      <c r="B321" s="65" t="s">
        <v>249</v>
      </c>
    </row>
    <row r="322" s="65" customFormat="1" ht="12.75">
      <c r="B322" s="65" t="s">
        <v>250</v>
      </c>
    </row>
    <row r="323" s="65" customFormat="1" ht="12.75"/>
    <row r="324" spans="1:9" s="65" customFormat="1" ht="12.75">
      <c r="A324" s="65" t="s">
        <v>251</v>
      </c>
      <c r="B324" s="65" t="s">
        <v>252</v>
      </c>
      <c r="I324" s="65">
        <v>2</v>
      </c>
    </row>
    <row r="325" spans="1:9" s="65" customFormat="1" ht="12.75">
      <c r="A325" s="65" t="s">
        <v>253</v>
      </c>
      <c r="B325" s="65" t="s">
        <v>254</v>
      </c>
      <c r="I325" s="65">
        <v>1</v>
      </c>
    </row>
    <row r="326" spans="1:9" s="65" customFormat="1" ht="12.75">
      <c r="A326" s="65" t="s">
        <v>255</v>
      </c>
      <c r="B326" s="65" t="s">
        <v>256</v>
      </c>
      <c r="I326" s="65">
        <v>1</v>
      </c>
    </row>
    <row r="327" spans="2:9" s="65" customFormat="1" ht="12.75">
      <c r="B327" s="65" t="s">
        <v>257</v>
      </c>
      <c r="I327" s="65">
        <v>5</v>
      </c>
    </row>
    <row r="328" s="65" customFormat="1" ht="12.75">
      <c r="F328" s="65" t="s">
        <v>258</v>
      </c>
    </row>
    <row r="329" spans="1:9" s="65" customFormat="1" ht="12.75">
      <c r="A329" s="65" t="s">
        <v>259</v>
      </c>
      <c r="B329" s="65" t="s">
        <v>260</v>
      </c>
      <c r="E329" s="65" t="s">
        <v>261</v>
      </c>
      <c r="G329" s="65">
        <v>696</v>
      </c>
      <c r="H329" s="65">
        <v>1200</v>
      </c>
      <c r="I329" s="65">
        <f>G329/H329</f>
        <v>0.58</v>
      </c>
    </row>
    <row r="330" spans="5:9" s="65" customFormat="1" ht="12.75">
      <c r="E330" s="65" t="s">
        <v>262</v>
      </c>
      <c r="H330" s="65">
        <v>1650</v>
      </c>
      <c r="I330" s="69">
        <f>G330/H330</f>
        <v>0</v>
      </c>
    </row>
    <row r="331" spans="5:9" s="65" customFormat="1" ht="12.75">
      <c r="E331" s="65" t="s">
        <v>263</v>
      </c>
      <c r="G331" s="65">
        <v>4364</v>
      </c>
      <c r="H331" s="65">
        <v>9000</v>
      </c>
      <c r="I331" s="69">
        <f>G331/H331</f>
        <v>0.48488888888888887</v>
      </c>
    </row>
    <row r="332" spans="3:9" s="65" customFormat="1" ht="12.75">
      <c r="C332" s="65" t="s">
        <v>201</v>
      </c>
      <c r="G332" s="65">
        <f>G329+G330+G331</f>
        <v>5060</v>
      </c>
      <c r="I332" s="69">
        <f>I329+I330+I331</f>
        <v>1.0648888888888888</v>
      </c>
    </row>
    <row r="333" s="65" customFormat="1" ht="12.75">
      <c r="F333" s="65" t="s">
        <v>258</v>
      </c>
    </row>
    <row r="334" spans="1:9" s="65" customFormat="1" ht="12.75">
      <c r="A334" s="65" t="s">
        <v>264</v>
      </c>
      <c r="B334" s="65" t="s">
        <v>265</v>
      </c>
      <c r="E334" s="65" t="s">
        <v>266</v>
      </c>
      <c r="G334" s="65">
        <v>563</v>
      </c>
      <c r="H334" s="65">
        <v>800</v>
      </c>
      <c r="I334" s="69">
        <f>G334/H334</f>
        <v>0.70375</v>
      </c>
    </row>
    <row r="335" spans="2:9" s="65" customFormat="1" ht="12.75">
      <c r="B335" s="65" t="s">
        <v>267</v>
      </c>
      <c r="E335" s="65" t="s">
        <v>268</v>
      </c>
      <c r="H335" s="65">
        <v>960</v>
      </c>
      <c r="I335" s="69">
        <f>G335/H335</f>
        <v>0</v>
      </c>
    </row>
    <row r="336" s="65" customFormat="1" ht="12.75">
      <c r="E336" s="65" t="s">
        <v>269</v>
      </c>
    </row>
    <row r="337" spans="3:9" s="65" customFormat="1" ht="12.75">
      <c r="C337" s="65" t="s">
        <v>201</v>
      </c>
      <c r="G337" s="65">
        <f>G334+G335+G336</f>
        <v>563</v>
      </c>
      <c r="I337" s="69">
        <f>I334+I335</f>
        <v>0.70375</v>
      </c>
    </row>
    <row r="338" s="65" customFormat="1" ht="12.75">
      <c r="F338" s="65" t="s">
        <v>270</v>
      </c>
    </row>
    <row r="339" spans="1:9" s="65" customFormat="1" ht="12.75">
      <c r="A339" s="65" t="s">
        <v>271</v>
      </c>
      <c r="B339" s="65" t="s">
        <v>272</v>
      </c>
      <c r="E339" s="65" t="s">
        <v>273</v>
      </c>
      <c r="H339" s="65">
        <v>500</v>
      </c>
      <c r="I339" s="69">
        <f>G339/H339</f>
        <v>0</v>
      </c>
    </row>
    <row r="340" spans="5:9" s="65" customFormat="1" ht="12.75">
      <c r="E340" s="65" t="s">
        <v>274</v>
      </c>
      <c r="H340" s="65">
        <v>700</v>
      </c>
      <c r="I340" s="69">
        <f>G340/H340</f>
        <v>0</v>
      </c>
    </row>
    <row r="341" s="65" customFormat="1" ht="12.75">
      <c r="E341" s="65" t="s">
        <v>275</v>
      </c>
    </row>
    <row r="342" spans="3:9" s="65" customFormat="1" ht="12.75">
      <c r="C342" s="65" t="s">
        <v>201</v>
      </c>
      <c r="G342" s="65">
        <f>G339+G340</f>
        <v>0</v>
      </c>
      <c r="I342" s="69">
        <f>I339+I340</f>
        <v>0</v>
      </c>
    </row>
    <row r="343" spans="1:2" s="65" customFormat="1" ht="12.75">
      <c r="A343" s="65" t="s">
        <v>276</v>
      </c>
      <c r="B343" s="65" t="s">
        <v>277</v>
      </c>
    </row>
    <row r="344" spans="2:9" s="65" customFormat="1" ht="12.75">
      <c r="B344" s="65" t="s">
        <v>278</v>
      </c>
      <c r="I344" s="65">
        <v>2</v>
      </c>
    </row>
    <row r="345" s="65" customFormat="1" ht="12.75"/>
  </sheetData>
  <sheetProtection/>
  <mergeCells count="47">
    <mergeCell ref="A151:D151"/>
    <mergeCell ref="A1:K1"/>
    <mergeCell ref="A2:K2"/>
    <mergeCell ref="C132:I132"/>
    <mergeCell ref="A141:G141"/>
    <mergeCell ref="A145:E145"/>
    <mergeCell ref="A147:G147"/>
    <mergeCell ref="A113:E113"/>
    <mergeCell ref="C102:D102"/>
    <mergeCell ref="A107:F107"/>
    <mergeCell ref="A109:G109"/>
    <mergeCell ref="A111:D111"/>
    <mergeCell ref="E111:G111"/>
    <mergeCell ref="A80:G80"/>
    <mergeCell ref="A82:G82"/>
    <mergeCell ref="A86:F86"/>
    <mergeCell ref="A91:D91"/>
    <mergeCell ref="A93:F93"/>
    <mergeCell ref="A97:E97"/>
    <mergeCell ref="A62:F62"/>
    <mergeCell ref="A68:F68"/>
    <mergeCell ref="A71:E71"/>
    <mergeCell ref="A74:G74"/>
    <mergeCell ref="A76:E76"/>
    <mergeCell ref="A78:G78"/>
    <mergeCell ref="A48:G48"/>
    <mergeCell ref="A50:G50"/>
    <mergeCell ref="A54:G54"/>
    <mergeCell ref="A56:G56"/>
    <mergeCell ref="A58:G58"/>
    <mergeCell ref="A60:F60"/>
    <mergeCell ref="A36:E36"/>
    <mergeCell ref="A38:G38"/>
    <mergeCell ref="A40:G40"/>
    <mergeCell ref="A42:G42"/>
    <mergeCell ref="A44:G44"/>
    <mergeCell ref="A46:G46"/>
    <mergeCell ref="A22:F22"/>
    <mergeCell ref="A24:F24"/>
    <mergeCell ref="A28:F28"/>
    <mergeCell ref="A30:G30"/>
    <mergeCell ref="A32:G32"/>
    <mergeCell ref="A34:G34"/>
    <mergeCell ref="A4:K4"/>
    <mergeCell ref="A5:K5"/>
    <mergeCell ref="A15:H15"/>
    <mergeCell ref="A17:G17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3:L14 M64 M80 M91 M101 L117:M117 H135:H137 H139 H141 K141 H147 H149 H151 H153 H155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309"/>
  <sheetViews>
    <sheetView zoomScalePageLayoutView="0" workbookViewId="0" topLeftCell="A1">
      <selection activeCell="A52" sqref="A52:IV52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" customHeight="1">
      <c r="A4" s="116" t="s">
        <v>308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9.11*1.042</f>
        <v>9.49262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65">
        <f>L6*4%</f>
        <v>0.3797048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25845.6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K17+K30+K46+K59+K66+K76</f>
        <v>25300.598698826747</v>
      </c>
      <c r="L15" s="68"/>
      <c r="M15" s="65" t="s">
        <v>73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74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H19+H21+H22+H24+H26+H27+H28+H20</f>
        <v>7998.902142595722</v>
      </c>
      <c r="M17" s="65" t="s">
        <v>76</v>
      </c>
      <c r="O17" s="69">
        <f>I297</f>
        <v>1.1544848484848487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I302</f>
        <v>0.345625</v>
      </c>
    </row>
    <row r="19" spans="1:15" ht="12.75">
      <c r="A19" s="113" t="s">
        <v>281</v>
      </c>
      <c r="B19" s="113"/>
      <c r="C19" s="113"/>
      <c r="D19" s="113"/>
      <c r="E19" s="113"/>
      <c r="F19" s="113"/>
      <c r="G19" s="22"/>
      <c r="H19" s="23">
        <f>O17*2600*1.75*1.07</f>
        <v>5620.609484848485</v>
      </c>
      <c r="I19" s="22"/>
      <c r="J19" s="22"/>
      <c r="K19" s="23"/>
      <c r="M19" s="65" t="s">
        <v>80</v>
      </c>
      <c r="O19" s="69"/>
    </row>
    <row r="20" spans="1:15" ht="12" customHeight="1">
      <c r="A20" s="24" t="s">
        <v>282</v>
      </c>
      <c r="B20" s="24"/>
      <c r="C20" s="24"/>
      <c r="D20" s="24"/>
      <c r="E20" s="24"/>
      <c r="F20" s="24"/>
      <c r="G20" s="22"/>
      <c r="H20" s="23">
        <f>O18*2203*1.3*1.07</f>
        <v>1059.123918125</v>
      </c>
      <c r="I20" s="22"/>
      <c r="J20" s="22"/>
      <c r="K20" s="23"/>
      <c r="M20" s="65" t="s">
        <v>82</v>
      </c>
      <c r="O20" s="69">
        <v>2722.7</v>
      </c>
    </row>
    <row r="21" spans="1:15" ht="12.75" hidden="1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83</v>
      </c>
      <c r="O21" s="65">
        <v>165</v>
      </c>
    </row>
    <row r="22" spans="1:16" ht="12.75">
      <c r="A22" s="23">
        <f>H19+H20</f>
        <v>6679.733402973486</v>
      </c>
      <c r="B22" s="22" t="s">
        <v>84</v>
      </c>
      <c r="C22" s="22"/>
      <c r="D22" s="22"/>
      <c r="E22" s="22"/>
      <c r="F22" s="22"/>
      <c r="G22" s="22"/>
      <c r="H22" s="23">
        <f>A22*0.142</f>
        <v>948.5221432222348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283</v>
      </c>
      <c r="B24" s="113"/>
      <c r="C24" s="113"/>
      <c r="D24" s="113"/>
      <c r="E24" s="113"/>
      <c r="F24" s="113"/>
      <c r="G24" s="22"/>
      <c r="H24" s="23">
        <f>0.057*O20</f>
        <v>155.19389999999999</v>
      </c>
      <c r="I24" s="23"/>
      <c r="J24" s="22"/>
      <c r="K24" s="23"/>
      <c r="N24" s="65">
        <v>10</v>
      </c>
      <c r="P24" s="65">
        <f>O24/2</f>
        <v>0</v>
      </c>
    </row>
    <row r="25" spans="1:11" ht="12.75">
      <c r="A25" s="24" t="s">
        <v>284</v>
      </c>
      <c r="B25" s="24"/>
      <c r="C25" s="24"/>
      <c r="D25" s="24"/>
      <c r="E25" s="24"/>
      <c r="F25" s="24"/>
      <c r="G25" s="22"/>
      <c r="H25" s="23">
        <f>O20*0.0085</f>
        <v>23.14295</v>
      </c>
      <c r="I25" s="23"/>
      <c r="J25" s="22"/>
      <c r="K25" s="23"/>
    </row>
    <row r="26" spans="1:13" ht="12.75">
      <c r="A26" s="113" t="s">
        <v>285</v>
      </c>
      <c r="B26" s="113"/>
      <c r="C26" s="113"/>
      <c r="D26" s="113"/>
      <c r="E26" s="113"/>
      <c r="F26" s="113"/>
      <c r="G26" s="113"/>
      <c r="H26" s="23">
        <f>0.005*O20</f>
        <v>13.6135</v>
      </c>
      <c r="I26" s="22"/>
      <c r="J26" s="22"/>
      <c r="K26" s="23"/>
      <c r="M26" s="65" t="s">
        <v>90</v>
      </c>
    </row>
    <row r="27" spans="1:15" ht="12.75">
      <c r="A27" s="113" t="s">
        <v>286</v>
      </c>
      <c r="B27" s="113"/>
      <c r="C27" s="113"/>
      <c r="D27" s="113"/>
      <c r="E27" s="113"/>
      <c r="F27" s="113"/>
      <c r="G27" s="113"/>
      <c r="H27" s="23">
        <f>O20*0.017</f>
        <v>46.2859</v>
      </c>
      <c r="I27" s="22"/>
      <c r="J27" s="22">
        <v>13606.82</v>
      </c>
      <c r="K27" s="23"/>
      <c r="M27" s="65" t="s">
        <v>92</v>
      </c>
      <c r="O27" s="65">
        <v>24</v>
      </c>
    </row>
    <row r="28" spans="1:15" ht="12.75">
      <c r="A28" s="113" t="s">
        <v>93</v>
      </c>
      <c r="B28" s="113"/>
      <c r="C28" s="113"/>
      <c r="D28" s="113"/>
      <c r="E28" s="113"/>
      <c r="F28" s="113"/>
      <c r="G28" s="113"/>
      <c r="H28" s="23">
        <f>0.054*O20*1.058</f>
        <v>155.5532964</v>
      </c>
      <c r="I28" s="22"/>
      <c r="J28" s="22"/>
      <c r="K28" s="23"/>
      <c r="M28" s="65" t="s">
        <v>94</v>
      </c>
      <c r="O28" s="65">
        <v>517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H32+H33+H34+H35+H36+H37+H38+H40+H41+H42+H43+K41+H39+H44</f>
        <v>5285.92813</v>
      </c>
      <c r="M30" s="65" t="s">
        <v>96</v>
      </c>
      <c r="O30" s="69">
        <f>K285</f>
        <v>0.765500374018166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1.8333333333333333</v>
      </c>
    </row>
    <row r="32" spans="1:11" ht="12.75">
      <c r="A32" s="113" t="s">
        <v>287</v>
      </c>
      <c r="B32" s="113"/>
      <c r="C32" s="113"/>
      <c r="D32" s="113"/>
      <c r="E32" s="113"/>
      <c r="F32" s="113"/>
      <c r="G32" s="113"/>
      <c r="H32" s="28">
        <f>(O21*1.5)/12*90.3*1.058</f>
        <v>1970.458875</v>
      </c>
      <c r="I32" s="22"/>
      <c r="J32" s="22"/>
      <c r="K32" s="29"/>
    </row>
    <row r="33" spans="1:11" ht="12.75">
      <c r="A33" s="113" t="s">
        <v>288</v>
      </c>
      <c r="B33" s="113"/>
      <c r="C33" s="113"/>
      <c r="D33" s="113"/>
      <c r="E33" s="113"/>
      <c r="F33" s="113"/>
      <c r="G33" s="113"/>
      <c r="H33" s="28">
        <f>O21*1.5*33.1/12*1.058</f>
        <v>722.2833750000001</v>
      </c>
      <c r="I33" s="22"/>
      <c r="J33" s="22"/>
      <c r="K33" s="29"/>
    </row>
    <row r="34" spans="1:11" ht="12.75">
      <c r="A34" s="113" t="s">
        <v>289</v>
      </c>
      <c r="B34" s="113"/>
      <c r="C34" s="113"/>
      <c r="D34" s="113"/>
      <c r="E34" s="113"/>
      <c r="F34" s="113"/>
      <c r="G34" s="113"/>
      <c r="H34" s="28">
        <f>O28*2.48</f>
        <v>1282.16</v>
      </c>
      <c r="I34" s="22"/>
      <c r="J34" s="22"/>
      <c r="K34" s="29"/>
    </row>
    <row r="35" spans="1:11" ht="12.75">
      <c r="A35" s="113" t="s">
        <v>290</v>
      </c>
      <c r="B35" s="113"/>
      <c r="C35" s="113"/>
      <c r="D35" s="113"/>
      <c r="E35" s="113"/>
      <c r="F35" s="113"/>
      <c r="G35" s="113"/>
      <c r="H35" s="28">
        <f>O20*0.0277</f>
        <v>75.41878999999999</v>
      </c>
      <c r="I35" s="22"/>
      <c r="J35" s="22"/>
      <c r="K35" s="29"/>
    </row>
    <row r="36" spans="1:11" ht="12.75">
      <c r="A36" s="113" t="s">
        <v>291</v>
      </c>
      <c r="B36" s="113"/>
      <c r="C36" s="113"/>
      <c r="D36" s="113"/>
      <c r="E36" s="113"/>
      <c r="F36" s="113"/>
      <c r="G36" s="113"/>
      <c r="H36" s="28">
        <f>O20*0.0027</f>
        <v>7.35129</v>
      </c>
      <c r="I36" s="22"/>
      <c r="J36" s="22"/>
      <c r="K36" s="29"/>
    </row>
    <row r="37" spans="1:11" ht="12.75">
      <c r="A37" s="113" t="s">
        <v>292</v>
      </c>
      <c r="B37" s="113"/>
      <c r="C37" s="113"/>
      <c r="D37" s="113"/>
      <c r="E37" s="113"/>
      <c r="F37" s="113"/>
      <c r="G37" s="113"/>
      <c r="H37" s="28">
        <f>O27*4.81/12</f>
        <v>9.62</v>
      </c>
      <c r="I37" s="22"/>
      <c r="J37" s="22"/>
      <c r="K37" s="29"/>
    </row>
    <row r="38" spans="1:12" ht="12.75">
      <c r="A38" s="113" t="s">
        <v>293</v>
      </c>
      <c r="B38" s="113"/>
      <c r="C38" s="113"/>
      <c r="D38" s="113"/>
      <c r="E38" s="113"/>
      <c r="F38" s="113"/>
      <c r="G38" s="113"/>
      <c r="H38" s="28">
        <f>60*101.92/12/2</f>
        <v>254.79999999999998</v>
      </c>
      <c r="I38" s="22"/>
      <c r="J38" s="22"/>
      <c r="K38" s="29"/>
      <c r="L38" s="65">
        <f>119*80*1.274/2/12</f>
        <v>505.3533333333333</v>
      </c>
    </row>
    <row r="39" spans="1:11" ht="12.75">
      <c r="A39" s="30" t="s">
        <v>294</v>
      </c>
      <c r="B39" s="30"/>
      <c r="C39" s="30"/>
      <c r="D39" s="30"/>
      <c r="E39" s="30"/>
      <c r="F39" s="30"/>
      <c r="G39" s="30"/>
      <c r="H39" s="31">
        <f>O20*0.216</f>
        <v>588.1031999999999</v>
      </c>
      <c r="I39" s="22"/>
      <c r="J39" s="22"/>
      <c r="K39" s="29"/>
    </row>
    <row r="40" spans="1:11" ht="12.75">
      <c r="A40" s="113" t="s">
        <v>295</v>
      </c>
      <c r="B40" s="113"/>
      <c r="C40" s="113"/>
      <c r="D40" s="113"/>
      <c r="E40" s="113"/>
      <c r="F40" s="113"/>
      <c r="G40" s="113"/>
      <c r="H40" s="28">
        <f>O20*0.027</f>
        <v>73.51289999999999</v>
      </c>
      <c r="I40" s="22"/>
      <c r="J40" s="32"/>
      <c r="K40" s="29"/>
    </row>
    <row r="41" spans="1:11" ht="12.75">
      <c r="A41" s="113" t="s">
        <v>296</v>
      </c>
      <c r="B41" s="113"/>
      <c r="C41" s="113"/>
      <c r="D41" s="113"/>
      <c r="E41" s="113"/>
      <c r="F41" s="113"/>
      <c r="G41" s="113"/>
      <c r="H41" s="28">
        <f>O20*0.022</f>
        <v>59.89939999999999</v>
      </c>
      <c r="I41" s="22"/>
      <c r="J41" s="22"/>
      <c r="K41" s="29"/>
    </row>
    <row r="42" spans="1:11" ht="12.75">
      <c r="A42" s="113" t="s">
        <v>297</v>
      </c>
      <c r="B42" s="113"/>
      <c r="C42" s="113"/>
      <c r="D42" s="113"/>
      <c r="E42" s="113"/>
      <c r="F42" s="113"/>
      <c r="G42" s="113"/>
      <c r="H42" s="28">
        <f>O20*0.022</f>
        <v>59.89939999999999</v>
      </c>
      <c r="I42" s="22"/>
      <c r="J42" s="22"/>
      <c r="K42" s="29"/>
    </row>
    <row r="43" spans="1:11" ht="12.75">
      <c r="A43" s="113" t="s">
        <v>298</v>
      </c>
      <c r="B43" s="113"/>
      <c r="C43" s="113"/>
      <c r="D43" s="113"/>
      <c r="E43" s="113"/>
      <c r="F43" s="113"/>
      <c r="G43" s="24"/>
      <c r="H43" s="28">
        <f>O20*0.053</f>
        <v>144.30309999999997</v>
      </c>
      <c r="I43" s="22"/>
      <c r="J43" s="22"/>
      <c r="K43" s="29"/>
    </row>
    <row r="44" spans="1:11" ht="12.75">
      <c r="A44" s="113" t="s">
        <v>299</v>
      </c>
      <c r="B44" s="113"/>
      <c r="C44" s="113"/>
      <c r="D44" s="113"/>
      <c r="E44" s="113"/>
      <c r="F44" s="113"/>
      <c r="G44" s="24"/>
      <c r="H44" s="28">
        <f>O20*0.014</f>
        <v>38.117799999999995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3" ht="15.75">
      <c r="A46" s="20" t="s">
        <v>111</v>
      </c>
      <c r="B46" s="20"/>
      <c r="C46" s="20"/>
      <c r="D46" s="20"/>
      <c r="E46" s="20"/>
      <c r="F46" s="20"/>
      <c r="G46" s="20"/>
      <c r="H46" s="27"/>
      <c r="I46" s="20"/>
      <c r="J46" s="20"/>
      <c r="K46" s="21">
        <f>H49+H51+H52+H53+H54+H55+H56+H57</f>
        <v>7432.375246231025</v>
      </c>
      <c r="M46" s="71" t="e">
        <f>K46/309084*#REF!</f>
        <v>#REF!</v>
      </c>
    </row>
    <row r="47" spans="1:11" ht="12.75">
      <c r="A47" s="22"/>
      <c r="B47" s="22" t="s">
        <v>64</v>
      </c>
      <c r="C47" s="22"/>
      <c r="D47" s="22"/>
      <c r="E47" s="22"/>
      <c r="F47" s="22"/>
      <c r="G47" s="22"/>
      <c r="H47" s="28"/>
      <c r="I47" s="22"/>
      <c r="J47" s="22"/>
      <c r="K47" s="29"/>
    </row>
    <row r="48" spans="1:11" ht="12.75">
      <c r="A48" s="33" t="s">
        <v>112</v>
      </c>
      <c r="B48" s="33"/>
      <c r="C48" s="33"/>
      <c r="D48" s="33"/>
      <c r="E48" s="33"/>
      <c r="F48" s="33"/>
      <c r="G48" s="33"/>
      <c r="H48" s="34"/>
      <c r="I48" s="33"/>
      <c r="J48" s="33"/>
      <c r="K48" s="35"/>
    </row>
    <row r="49" spans="1:11" ht="12.75">
      <c r="A49" s="111" t="s">
        <v>300</v>
      </c>
      <c r="B49" s="111"/>
      <c r="C49" s="111"/>
      <c r="D49" s="111"/>
      <c r="E49" s="111"/>
      <c r="F49" s="111"/>
      <c r="G49" s="36"/>
      <c r="H49" s="37">
        <f>K285*24.48*165.1*1.5*1.07</f>
        <v>4965.682304317885</v>
      </c>
      <c r="I49" s="38"/>
      <c r="J49" s="38"/>
      <c r="K49" s="35"/>
    </row>
    <row r="50" spans="1:11" ht="12.75">
      <c r="A50" s="33" t="s">
        <v>114</v>
      </c>
      <c r="B50" s="33"/>
      <c r="C50" s="33"/>
      <c r="D50" s="33"/>
      <c r="E50" s="33"/>
      <c r="F50" s="33"/>
      <c r="G50" s="33"/>
      <c r="H50" s="34"/>
      <c r="I50" s="33"/>
      <c r="J50" s="33"/>
      <c r="K50" s="35"/>
    </row>
    <row r="51" spans="1:11" ht="12.75">
      <c r="A51" s="39">
        <f>H49</f>
        <v>4965.682304317885</v>
      </c>
      <c r="B51" s="36" t="s">
        <v>115</v>
      </c>
      <c r="C51" s="36"/>
      <c r="D51" s="36"/>
      <c r="E51" s="36"/>
      <c r="F51" s="36"/>
      <c r="G51" s="38"/>
      <c r="H51" s="37">
        <f>H49*14.2%</f>
        <v>705.1268872131395</v>
      </c>
      <c r="I51" s="38"/>
      <c r="J51" s="38"/>
      <c r="K51" s="35"/>
    </row>
    <row r="52" spans="1:11" ht="12.75">
      <c r="A52" s="30" t="s">
        <v>86</v>
      </c>
      <c r="B52" s="30"/>
      <c r="C52" s="30"/>
      <c r="D52" s="30"/>
      <c r="E52" s="30"/>
      <c r="F52" s="40"/>
      <c r="G52" s="40"/>
      <c r="H52" s="37">
        <f>0.04*O20</f>
        <v>108.908</v>
      </c>
      <c r="I52" s="38"/>
      <c r="J52" s="38"/>
      <c r="K52" s="35"/>
    </row>
    <row r="53" spans="1:11" ht="12.75">
      <c r="A53" s="108" t="s">
        <v>116</v>
      </c>
      <c r="B53" s="108"/>
      <c r="C53" s="108"/>
      <c r="D53" s="108"/>
      <c r="E53" s="108"/>
      <c r="F53" s="108"/>
      <c r="G53" s="108"/>
      <c r="H53" s="37">
        <v>1000</v>
      </c>
      <c r="I53" s="38"/>
      <c r="J53" s="38"/>
      <c r="K53" s="35"/>
    </row>
    <row r="54" spans="1:11" ht="12.75">
      <c r="A54" s="108" t="s">
        <v>301</v>
      </c>
      <c r="B54" s="108"/>
      <c r="C54" s="108"/>
      <c r="D54" s="108"/>
      <c r="E54" s="108"/>
      <c r="F54" s="30"/>
      <c r="G54" s="30"/>
      <c r="H54" s="37">
        <f>0.0037*O20</f>
        <v>10.07399</v>
      </c>
      <c r="I54" s="38"/>
      <c r="J54" s="38"/>
      <c r="K54" s="35"/>
    </row>
    <row r="55" spans="1:12" ht="12.75">
      <c r="A55" s="108" t="s">
        <v>302</v>
      </c>
      <c r="B55" s="108"/>
      <c r="C55" s="108"/>
      <c r="D55" s="108"/>
      <c r="E55" s="108"/>
      <c r="F55" s="108"/>
      <c r="G55" s="108"/>
      <c r="H55" s="37">
        <f>O20*0.082</f>
        <v>223.26139999999998</v>
      </c>
      <c r="I55" s="38"/>
      <c r="J55" s="38"/>
      <c r="K55" s="35"/>
      <c r="L55" s="69"/>
    </row>
    <row r="56" spans="1:13" ht="12.75">
      <c r="A56" s="108" t="s">
        <v>303</v>
      </c>
      <c r="B56" s="108"/>
      <c r="C56" s="108"/>
      <c r="D56" s="108"/>
      <c r="E56" s="108"/>
      <c r="F56" s="108"/>
      <c r="G56" s="108"/>
      <c r="H56" s="31">
        <f>O20*0.023*1.107</f>
        <v>69.32266469999999</v>
      </c>
      <c r="I56" s="33"/>
      <c r="J56" s="33"/>
      <c r="K56" s="35"/>
      <c r="M56" s="65" t="e">
        <f>36646.37/309083*#REF!</f>
        <v>#REF!</v>
      </c>
    </row>
    <row r="57" spans="1:11" ht="12.75">
      <c r="A57" s="41" t="s">
        <v>120</v>
      </c>
      <c r="B57" s="41"/>
      <c r="C57" s="41"/>
      <c r="D57" s="41"/>
      <c r="E57" s="40"/>
      <c r="F57" s="40"/>
      <c r="G57" s="40"/>
      <c r="H57" s="31">
        <v>350</v>
      </c>
      <c r="I57" s="40"/>
      <c r="J57" s="40"/>
      <c r="K57" s="35"/>
    </row>
    <row r="58" spans="1:11" ht="12.75">
      <c r="A58" s="41"/>
      <c r="B58" s="41"/>
      <c r="C58" s="41"/>
      <c r="D58" s="41"/>
      <c r="E58" s="40"/>
      <c r="F58" s="40"/>
      <c r="G58" s="40"/>
      <c r="H58" s="31"/>
      <c r="I58" s="40"/>
      <c r="J58" s="40"/>
      <c r="K58" s="35"/>
    </row>
    <row r="59" spans="1:13" ht="15.75">
      <c r="A59" s="110" t="s">
        <v>121</v>
      </c>
      <c r="B59" s="110"/>
      <c r="C59" s="110"/>
      <c r="D59" s="110"/>
      <c r="E59" s="42"/>
      <c r="F59" s="42"/>
      <c r="G59" s="20"/>
      <c r="H59" s="27"/>
      <c r="I59" s="20"/>
      <c r="J59" s="20"/>
      <c r="K59" s="21">
        <f>H61+H62+H63+H64</f>
        <v>1968.23983</v>
      </c>
      <c r="M59" s="72" t="e">
        <f>51932.37/301083*#REF!</f>
        <v>#REF!</v>
      </c>
    </row>
    <row r="60" spans="1:11" ht="12.75">
      <c r="A60" s="111" t="s">
        <v>122</v>
      </c>
      <c r="B60" s="111"/>
      <c r="C60" s="111"/>
      <c r="D60" s="111"/>
      <c r="E60" s="111"/>
      <c r="F60" s="111"/>
      <c r="G60" s="36"/>
      <c r="H60" s="37"/>
      <c r="I60" s="36"/>
      <c r="J60" s="36"/>
      <c r="K60" s="35"/>
    </row>
    <row r="61" spans="1:11" ht="12.75">
      <c r="A61" s="36" t="s">
        <v>304</v>
      </c>
      <c r="B61" s="36"/>
      <c r="C61" s="36"/>
      <c r="D61" s="36"/>
      <c r="E61" s="36"/>
      <c r="F61" s="36"/>
      <c r="G61" s="36"/>
      <c r="H61" s="37">
        <f>0.2227*O20</f>
        <v>606.34529</v>
      </c>
      <c r="I61" s="36"/>
      <c r="J61" s="36"/>
      <c r="K61" s="35"/>
    </row>
    <row r="62" spans="1:11" ht="12.75">
      <c r="A62" s="30" t="s">
        <v>305</v>
      </c>
      <c r="B62" s="43"/>
      <c r="C62" s="30"/>
      <c r="D62" s="30"/>
      <c r="E62" s="44"/>
      <c r="F62" s="38"/>
      <c r="G62" s="38"/>
      <c r="H62" s="37">
        <f>0.0257*O20</f>
        <v>69.97339</v>
      </c>
      <c r="I62" s="38"/>
      <c r="J62" s="38"/>
      <c r="K62" s="35"/>
    </row>
    <row r="63" spans="1:11" ht="12.75">
      <c r="A63" s="111" t="s">
        <v>306</v>
      </c>
      <c r="B63" s="111"/>
      <c r="C63" s="111"/>
      <c r="D63" s="111"/>
      <c r="E63" s="111"/>
      <c r="F63" s="38"/>
      <c r="G63" s="38"/>
      <c r="H63" s="37">
        <f>0.0945*O20</f>
        <v>257.29515</v>
      </c>
      <c r="I63" s="38"/>
      <c r="J63" s="38"/>
      <c r="K63" s="35"/>
    </row>
    <row r="64" spans="1:11" ht="12.75">
      <c r="A64" s="36" t="s">
        <v>307</v>
      </c>
      <c r="B64" s="36"/>
      <c r="C64" s="36"/>
      <c r="D64" s="36"/>
      <c r="E64" s="36"/>
      <c r="F64" s="38"/>
      <c r="G64" s="38"/>
      <c r="H64" s="37">
        <f>0.38*O20</f>
        <v>1034.626</v>
      </c>
      <c r="I64" s="38"/>
      <c r="J64" s="38"/>
      <c r="K64" s="45"/>
    </row>
    <row r="65" spans="1:11" ht="12.75">
      <c r="A65" s="30"/>
      <c r="B65" s="30"/>
      <c r="C65" s="30"/>
      <c r="D65" s="30"/>
      <c r="E65" s="38"/>
      <c r="F65" s="38"/>
      <c r="G65" s="38"/>
      <c r="H65" s="37"/>
      <c r="I65" s="38"/>
      <c r="J65" s="38"/>
      <c r="K65" s="35"/>
    </row>
    <row r="66" spans="1:13" ht="15.75">
      <c r="A66" s="26" t="s">
        <v>127</v>
      </c>
      <c r="B66" s="26"/>
      <c r="C66" s="26"/>
      <c r="D66" s="26"/>
      <c r="E66" s="26"/>
      <c r="F66" s="26"/>
      <c r="G66" s="26"/>
      <c r="H66" s="46"/>
      <c r="I66" s="20"/>
      <c r="J66" s="20"/>
      <c r="K66" s="21">
        <f>O20*0.94</f>
        <v>2559.3379999999997</v>
      </c>
      <c r="M66" s="71" t="e">
        <f>231179.9/309083*#REF!</f>
        <v>#REF!</v>
      </c>
    </row>
    <row r="67" spans="1:11" ht="15.75">
      <c r="A67" s="47"/>
      <c r="B67" s="47"/>
      <c r="C67" s="112" t="s">
        <v>64</v>
      </c>
      <c r="D67" s="112"/>
      <c r="E67" s="47"/>
      <c r="F67" s="47"/>
      <c r="G67" s="47"/>
      <c r="H67" s="48"/>
      <c r="I67" s="47"/>
      <c r="J67" s="47"/>
      <c r="K67" s="49"/>
    </row>
    <row r="68" spans="1:11" ht="12.75">
      <c r="A68" s="30" t="s">
        <v>128</v>
      </c>
      <c r="B68" s="30"/>
      <c r="C68" s="30"/>
      <c r="D68" s="30"/>
      <c r="E68" s="30"/>
      <c r="F68" s="30"/>
      <c r="G68" s="30"/>
      <c r="H68" s="37"/>
      <c r="I68" s="38"/>
      <c r="J68" s="38"/>
      <c r="K68" s="35"/>
    </row>
    <row r="69" spans="1:11" ht="12.75">
      <c r="A69" s="30" t="s">
        <v>129</v>
      </c>
      <c r="B69" s="43"/>
      <c r="C69" s="30"/>
      <c r="D69" s="30"/>
      <c r="E69" s="30"/>
      <c r="F69" s="44"/>
      <c r="G69" s="44"/>
      <c r="H69" s="37"/>
      <c r="I69" s="38"/>
      <c r="J69" s="38"/>
      <c r="K69" s="35"/>
    </row>
    <row r="70" spans="1:11" ht="12.75">
      <c r="A70" s="108" t="s">
        <v>130</v>
      </c>
      <c r="B70" s="108"/>
      <c r="C70" s="108"/>
      <c r="D70" s="108"/>
      <c r="E70" s="108"/>
      <c r="F70" s="108"/>
      <c r="G70" s="44"/>
      <c r="H70" s="37"/>
      <c r="I70" s="38"/>
      <c r="J70" s="38"/>
      <c r="K70" s="35"/>
    </row>
    <row r="71" spans="1:11" ht="12.75">
      <c r="A71" s="108" t="s">
        <v>131</v>
      </c>
      <c r="B71" s="108"/>
      <c r="C71" s="108"/>
      <c r="D71" s="108"/>
      <c r="E71" s="108"/>
      <c r="F71" s="108"/>
      <c r="G71" s="108"/>
      <c r="H71" s="37"/>
      <c r="I71" s="38"/>
      <c r="J71" s="38"/>
      <c r="K71" s="35"/>
    </row>
    <row r="72" spans="1:11" ht="12.75">
      <c r="A72" s="108" t="s">
        <v>132</v>
      </c>
      <c r="B72" s="108"/>
      <c r="C72" s="108"/>
      <c r="D72" s="108"/>
      <c r="E72" s="109"/>
      <c r="F72" s="109"/>
      <c r="G72" s="109"/>
      <c r="H72" s="37"/>
      <c r="I72" s="38"/>
      <c r="J72" s="38"/>
      <c r="K72" s="35"/>
    </row>
    <row r="73" spans="1:11" ht="12.75">
      <c r="A73" s="108" t="s">
        <v>133</v>
      </c>
      <c r="B73" s="108"/>
      <c r="C73" s="108"/>
      <c r="D73" s="108"/>
      <c r="E73" s="108"/>
      <c r="F73" s="44"/>
      <c r="G73" s="44"/>
      <c r="H73" s="37"/>
      <c r="I73" s="38"/>
      <c r="J73" s="38"/>
      <c r="K73" s="35"/>
    </row>
    <row r="74" spans="1:11" ht="12.75">
      <c r="A74" s="44" t="s">
        <v>134</v>
      </c>
      <c r="B74" s="44"/>
      <c r="C74" s="44"/>
      <c r="D74" s="44"/>
      <c r="E74" s="44"/>
      <c r="F74" s="44"/>
      <c r="G74" s="44"/>
      <c r="H74" s="37"/>
      <c r="I74" s="38"/>
      <c r="J74" s="38"/>
      <c r="K74" s="35"/>
    </row>
    <row r="75" spans="1:11" ht="12.75">
      <c r="A75" s="22"/>
      <c r="B75" s="22"/>
      <c r="C75" s="22"/>
      <c r="D75" s="22"/>
      <c r="E75" s="22"/>
      <c r="F75" s="22"/>
      <c r="G75" s="22"/>
      <c r="H75" s="28"/>
      <c r="I75" s="22"/>
      <c r="J75" s="22"/>
      <c r="K75" s="29"/>
    </row>
    <row r="76" spans="1:13" ht="15.75">
      <c r="A76" s="20" t="s">
        <v>135</v>
      </c>
      <c r="B76" s="20"/>
      <c r="C76" s="20"/>
      <c r="D76" s="20"/>
      <c r="E76" s="20"/>
      <c r="F76" s="51"/>
      <c r="G76" s="51"/>
      <c r="H76" s="52"/>
      <c r="I76" s="51"/>
      <c r="J76" s="51"/>
      <c r="K76" s="21">
        <f>0.0205*O20</f>
        <v>55.815349999999995</v>
      </c>
      <c r="L76" s="72" t="e">
        <f>K76/309084*#REF!</f>
        <v>#REF!</v>
      </c>
      <c r="M76" s="72" t="e">
        <f>L76/309084*#REF!</f>
        <v>#REF!</v>
      </c>
    </row>
    <row r="77" spans="1:13" ht="15.75">
      <c r="A77" s="53"/>
      <c r="B77" s="54"/>
      <c r="C77" s="54"/>
      <c r="D77" s="54"/>
      <c r="E77" s="54"/>
      <c r="F77" s="53"/>
      <c r="G77" s="53"/>
      <c r="H77" s="55"/>
      <c r="I77" s="53"/>
      <c r="J77" s="53"/>
      <c r="K77" s="56"/>
      <c r="L77" s="72"/>
      <c r="M77" s="72"/>
    </row>
    <row r="78" spans="1:11" ht="15.75">
      <c r="A78" s="57" t="s">
        <v>136</v>
      </c>
      <c r="B78" s="57"/>
      <c r="C78" s="57"/>
      <c r="D78" s="58"/>
      <c r="E78" s="58"/>
      <c r="F78" s="58"/>
      <c r="G78" s="58"/>
      <c r="H78" s="59"/>
      <c r="I78" s="58"/>
      <c r="J78" s="58"/>
      <c r="K78" s="60">
        <f>K15*6%</f>
        <v>1518.0359219296047</v>
      </c>
    </row>
    <row r="79" spans="1:11" ht="15">
      <c r="A79" s="58"/>
      <c r="B79" s="61"/>
      <c r="C79" s="61"/>
      <c r="D79" s="61"/>
      <c r="E79" s="61"/>
      <c r="F79" s="61"/>
      <c r="G79" s="61"/>
      <c r="H79" s="62"/>
      <c r="I79" s="58"/>
      <c r="J79" s="58"/>
      <c r="K79" s="58"/>
    </row>
    <row r="80" spans="1:11" ht="15.75">
      <c r="A80" s="63" t="s">
        <v>137</v>
      </c>
      <c r="B80" s="63"/>
      <c r="C80" s="63"/>
      <c r="D80" s="63"/>
      <c r="E80" s="63"/>
      <c r="F80" s="63"/>
      <c r="G80" s="63"/>
      <c r="H80" s="63"/>
      <c r="I80" s="63"/>
      <c r="J80" s="63"/>
      <c r="K80" s="64">
        <f>K78+K15</f>
        <v>26818.63462075635</v>
      </c>
    </row>
    <row r="81" spans="1:11" ht="15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4"/>
    </row>
    <row r="82" spans="1:11" ht="15.75">
      <c r="A82" s="63" t="s">
        <v>138</v>
      </c>
      <c r="B82" s="63"/>
      <c r="C82" s="63"/>
      <c r="D82" s="63"/>
      <c r="E82" s="63"/>
      <c r="F82" s="63"/>
      <c r="G82" s="63"/>
      <c r="H82" s="63"/>
      <c r="I82" s="63"/>
      <c r="J82" s="63"/>
      <c r="K82" s="64">
        <f>K80/O20</f>
        <v>9.850014552009531</v>
      </c>
    </row>
    <row r="83" spans="1:11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7" spans="3:9" s="65" customFormat="1" ht="15.75">
      <c r="C97" s="106" t="s">
        <v>139</v>
      </c>
      <c r="D97" s="107"/>
      <c r="E97" s="107"/>
      <c r="F97" s="107"/>
      <c r="G97" s="107"/>
      <c r="H97" s="107"/>
      <c r="I97" s="107"/>
    </row>
    <row r="98" spans="3:9" s="65" customFormat="1" ht="15.75">
      <c r="C98" s="74" t="s">
        <v>140</v>
      </c>
      <c r="D98" s="74" t="s">
        <v>141</v>
      </c>
      <c r="E98" s="74"/>
      <c r="F98" s="74"/>
      <c r="G98" s="75"/>
      <c r="H98" s="75"/>
      <c r="I98" s="75"/>
    </row>
    <row r="99" s="65" customFormat="1" ht="12.75"/>
    <row r="100" spans="5:8" s="65" customFormat="1" ht="12.75">
      <c r="E100" s="65" t="s">
        <v>142</v>
      </c>
      <c r="H100" s="65" t="e">
        <f>#REF!</f>
        <v>#REF!</v>
      </c>
    </row>
    <row r="101" spans="5:8" s="65" customFormat="1" ht="12.75">
      <c r="E101" s="65" t="s">
        <v>143</v>
      </c>
      <c r="H101" s="65" t="e">
        <f>#REF!</f>
        <v>#REF!</v>
      </c>
    </row>
    <row r="102" spans="5:8" s="65" customFormat="1" ht="12.75">
      <c r="E102" s="65" t="s">
        <v>144</v>
      </c>
      <c r="H102" s="65" t="e">
        <f>#REF!</f>
        <v>#REF!</v>
      </c>
    </row>
    <row r="103" spans="5:8" s="65" customFormat="1" ht="12.75">
      <c r="E103" s="65" t="s">
        <v>145</v>
      </c>
      <c r="H103" s="65">
        <f>O21</f>
        <v>165</v>
      </c>
    </row>
    <row r="104" spans="5:8" s="65" customFormat="1" ht="12.75">
      <c r="E104" s="65" t="s">
        <v>146</v>
      </c>
      <c r="H104" s="65" t="e">
        <f>#REF!</f>
        <v>#REF!</v>
      </c>
    </row>
    <row r="105" s="65" customFormat="1" ht="12.75"/>
    <row r="106" spans="1:11" s="65" customFormat="1" ht="15.75">
      <c r="A106" s="105" t="s">
        <v>72</v>
      </c>
      <c r="B106" s="105"/>
      <c r="C106" s="105"/>
      <c r="D106" s="105"/>
      <c r="E106" s="105"/>
      <c r="F106" s="105"/>
      <c r="G106" s="105"/>
      <c r="H106" s="76" t="e">
        <f>H108+H110+H112+H114+H116+H118+H120</f>
        <v>#REF!</v>
      </c>
      <c r="I106" s="77" t="s">
        <v>70</v>
      </c>
      <c r="K106" s="78" t="e">
        <f>H106-20000</f>
        <v>#REF!</v>
      </c>
    </row>
    <row r="107" spans="1:7" s="65" customFormat="1" ht="12.75">
      <c r="A107" s="79"/>
      <c r="B107" s="79"/>
      <c r="C107" s="79"/>
      <c r="D107" s="79"/>
      <c r="E107" s="79"/>
      <c r="F107" s="79"/>
      <c r="G107" s="79"/>
    </row>
    <row r="108" spans="1:8" s="65" customFormat="1" ht="15.75">
      <c r="A108" s="80" t="s">
        <v>147</v>
      </c>
      <c r="B108" s="80"/>
      <c r="C108" s="80"/>
      <c r="D108" s="80"/>
      <c r="E108" s="80"/>
      <c r="F108" s="80"/>
      <c r="G108" s="80"/>
      <c r="H108" s="78">
        <f>K17</f>
        <v>7998.902142595722</v>
      </c>
    </row>
    <row r="109" spans="1:8" s="65" customFormat="1" ht="12.75">
      <c r="A109" s="79"/>
      <c r="B109" s="79"/>
      <c r="C109" s="79"/>
      <c r="D109" s="79"/>
      <c r="E109" s="79"/>
      <c r="F109" s="79"/>
      <c r="G109" s="79"/>
      <c r="H109" s="78"/>
    </row>
    <row r="110" spans="1:8" s="65" customFormat="1" ht="15.75">
      <c r="A110" s="105" t="s">
        <v>95</v>
      </c>
      <c r="B110" s="105"/>
      <c r="C110" s="105"/>
      <c r="D110" s="105"/>
      <c r="E110" s="105"/>
      <c r="F110" s="80"/>
      <c r="G110" s="80"/>
      <c r="H110" s="78">
        <f>K30</f>
        <v>5285.92813</v>
      </c>
    </row>
    <row r="111" spans="1:8" s="65" customFormat="1" ht="12.75">
      <c r="A111" s="79"/>
      <c r="B111" s="79"/>
      <c r="C111" s="79"/>
      <c r="D111" s="79"/>
      <c r="E111" s="79"/>
      <c r="F111" s="79"/>
      <c r="G111" s="79"/>
      <c r="H111" s="78"/>
    </row>
    <row r="112" spans="1:8" s="65" customFormat="1" ht="15.75">
      <c r="A112" s="105" t="s">
        <v>148</v>
      </c>
      <c r="B112" s="105"/>
      <c r="C112" s="105"/>
      <c r="D112" s="105"/>
      <c r="E112" s="105"/>
      <c r="F112" s="105"/>
      <c r="G112" s="105"/>
      <c r="H112" s="81" t="e">
        <f>#REF!</f>
        <v>#REF!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82"/>
    </row>
    <row r="114" spans="1:8" s="65" customFormat="1" ht="15.75">
      <c r="A114" s="80" t="s">
        <v>111</v>
      </c>
      <c r="B114" s="80"/>
      <c r="C114" s="80"/>
      <c r="D114" s="80"/>
      <c r="E114" s="80"/>
      <c r="F114" s="80"/>
      <c r="G114" s="80"/>
      <c r="H114" s="82" t="e">
        <f>M46</f>
        <v>#REF!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82"/>
    </row>
    <row r="116" spans="1:8" s="65" customFormat="1" ht="15.75">
      <c r="A116" s="105" t="s">
        <v>149</v>
      </c>
      <c r="B116" s="105"/>
      <c r="C116" s="105"/>
      <c r="D116" s="105"/>
      <c r="E116" s="80"/>
      <c r="F116" s="80"/>
      <c r="G116" s="80"/>
      <c r="H116" s="81" t="e">
        <f>M59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83" t="s">
        <v>127</v>
      </c>
      <c r="B118" s="83"/>
      <c r="C118" s="83"/>
      <c r="D118" s="83"/>
      <c r="E118" s="83"/>
      <c r="F118" s="83"/>
      <c r="G118" s="83"/>
      <c r="H118" s="81" t="e">
        <f>M66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80" t="s">
        <v>150</v>
      </c>
      <c r="B120" s="80"/>
      <c r="C120" s="80"/>
      <c r="D120" s="80"/>
      <c r="E120" s="80"/>
      <c r="F120" s="84"/>
      <c r="G120" s="84"/>
      <c r="H120" s="81" t="e">
        <f>L76</f>
        <v>#REF!</v>
      </c>
    </row>
    <row r="121" s="65" customFormat="1" ht="12.75"/>
    <row r="122" s="65" customFormat="1" ht="12.75"/>
    <row r="123" s="65" customFormat="1" ht="12.75">
      <c r="H123" s="65" t="s">
        <v>151</v>
      </c>
    </row>
    <row r="124" s="65" customFormat="1" ht="12.75">
      <c r="H124" s="65" t="s">
        <v>146</v>
      </c>
    </row>
    <row r="125" s="65" customFormat="1" ht="12.75">
      <c r="H125" s="65" t="s">
        <v>152</v>
      </c>
    </row>
    <row r="126" s="65" customFormat="1" ht="12.75"/>
    <row r="127" s="65" customFormat="1" ht="12.75"/>
    <row r="128" s="65" customFormat="1" ht="12.75">
      <c r="F128" s="65" t="s">
        <v>153</v>
      </c>
    </row>
    <row r="129" s="65" customFormat="1" ht="12.75">
      <c r="D129" s="65" t="s">
        <v>154</v>
      </c>
    </row>
    <row r="130" s="65" customFormat="1" ht="12.75">
      <c r="D130" s="65" t="s">
        <v>155</v>
      </c>
    </row>
    <row r="131" spans="6:13" s="65" customFormat="1" ht="12.75">
      <c r="F131" s="65" t="s">
        <v>156</v>
      </c>
      <c r="M131" s="65" t="s">
        <v>157</v>
      </c>
    </row>
    <row r="132" s="65" customFormat="1" ht="12.75">
      <c r="M132" s="65" t="s">
        <v>158</v>
      </c>
    </row>
    <row r="133" spans="1:13" s="65" customFormat="1" ht="12.75">
      <c r="A133" s="65" t="s">
        <v>159</v>
      </c>
      <c r="B133" s="65" t="s">
        <v>160</v>
      </c>
      <c r="D133" s="65" t="s">
        <v>161</v>
      </c>
      <c r="F133" s="65" t="s">
        <v>162</v>
      </c>
      <c r="G133" s="65" t="s">
        <v>163</v>
      </c>
      <c r="H133" s="65" t="s">
        <v>164</v>
      </c>
      <c r="J133" s="65" t="s">
        <v>165</v>
      </c>
      <c r="M133" s="73" t="s">
        <v>166</v>
      </c>
    </row>
    <row r="134" spans="1:14" s="65" customFormat="1" ht="12.75">
      <c r="A134" s="65" t="s">
        <v>167</v>
      </c>
      <c r="B134" s="65" t="s">
        <v>168</v>
      </c>
      <c r="D134" s="65" t="s">
        <v>169</v>
      </c>
      <c r="F134" s="65" t="s">
        <v>170</v>
      </c>
      <c r="G134" s="65" t="s">
        <v>171</v>
      </c>
      <c r="H134" s="65" t="s">
        <v>172</v>
      </c>
      <c r="J134" s="65" t="s">
        <v>173</v>
      </c>
      <c r="M134" s="65" t="s">
        <v>174</v>
      </c>
      <c r="N134" s="65">
        <v>2902</v>
      </c>
    </row>
    <row r="135" spans="8:9" s="65" customFormat="1" ht="12.75">
      <c r="H135" s="65" t="s">
        <v>175</v>
      </c>
      <c r="I135" s="65" t="s">
        <v>176</v>
      </c>
    </row>
    <row r="136" spans="8:13" s="65" customFormat="1" ht="12.75">
      <c r="H136" s="65" t="s">
        <v>170</v>
      </c>
      <c r="I136" s="65" t="s">
        <v>177</v>
      </c>
      <c r="M136" s="65" t="s">
        <v>178</v>
      </c>
    </row>
    <row r="137" spans="9:13" s="65" customFormat="1" ht="12.75">
      <c r="I137" s="65" t="s">
        <v>179</v>
      </c>
      <c r="M137" s="65" t="s">
        <v>158</v>
      </c>
    </row>
    <row r="138" s="65" customFormat="1" ht="12.75">
      <c r="M138" s="73" t="s">
        <v>166</v>
      </c>
    </row>
    <row r="139" spans="1:14" s="65" customFormat="1" ht="12.75">
      <c r="A139" s="65" t="s">
        <v>180</v>
      </c>
      <c r="B139" s="65" t="s">
        <v>181</v>
      </c>
      <c r="D139" s="65" t="s">
        <v>182</v>
      </c>
      <c r="M139" s="65" t="s">
        <v>174</v>
      </c>
      <c r="N139" s="65">
        <v>691</v>
      </c>
    </row>
    <row r="140" spans="2:4" s="65" customFormat="1" ht="12.75">
      <c r="B140" s="65" t="s">
        <v>183</v>
      </c>
      <c r="D140" s="65" t="s">
        <v>184</v>
      </c>
    </row>
    <row r="141" spans="2:13" s="65" customFormat="1" ht="12.75">
      <c r="B141" s="65" t="s">
        <v>185</v>
      </c>
      <c r="D141" s="65" t="s">
        <v>186</v>
      </c>
      <c r="M141" s="65" t="s">
        <v>187</v>
      </c>
    </row>
    <row r="142" spans="2:13" s="65" customFormat="1" ht="12.75">
      <c r="B142" s="65" t="s">
        <v>188</v>
      </c>
      <c r="D142" s="65" t="s">
        <v>189</v>
      </c>
      <c r="M142" s="65" t="s">
        <v>158</v>
      </c>
    </row>
    <row r="143" spans="2:13" s="65" customFormat="1" ht="12.75">
      <c r="B143" s="65" t="s">
        <v>190</v>
      </c>
      <c r="M143" s="73" t="s">
        <v>166</v>
      </c>
    </row>
    <row r="144" spans="4:14" s="65" customFormat="1" ht="12.75">
      <c r="D144" s="65" t="s">
        <v>191</v>
      </c>
      <c r="M144" s="65" t="s">
        <v>174</v>
      </c>
      <c r="N144" s="65">
        <v>552.8</v>
      </c>
    </row>
    <row r="145" spans="4:6" s="65" customFormat="1" ht="12.75">
      <c r="D145" s="65" t="s">
        <v>192</v>
      </c>
      <c r="F145" s="65" t="s">
        <v>193</v>
      </c>
    </row>
    <row r="146" spans="4:13" s="65" customFormat="1" ht="12.75">
      <c r="D146" s="65" t="s">
        <v>158</v>
      </c>
      <c r="F146" s="65" t="s">
        <v>194</v>
      </c>
      <c r="H146" s="65">
        <v>0.0687</v>
      </c>
      <c r="I146" s="65">
        <v>0</v>
      </c>
      <c r="K146" s="65">
        <f>N137/1000*H146</f>
        <v>0</v>
      </c>
      <c r="M146" s="65" t="s">
        <v>195</v>
      </c>
    </row>
    <row r="147" spans="4:13" s="65" customFormat="1" ht="12.75">
      <c r="D147" s="65" t="s">
        <v>196</v>
      </c>
      <c r="F147" s="65" t="s">
        <v>197</v>
      </c>
      <c r="H147" s="65">
        <v>0.0763</v>
      </c>
      <c r="I147" s="65">
        <v>0</v>
      </c>
      <c r="K147" s="65">
        <f>N138/1000*H147</f>
        <v>0</v>
      </c>
      <c r="M147" s="65" t="s">
        <v>158</v>
      </c>
    </row>
    <row r="148" spans="4:13" s="65" customFormat="1" ht="12.75">
      <c r="D148" s="65" t="s">
        <v>198</v>
      </c>
      <c r="F148" s="65" t="s">
        <v>199</v>
      </c>
      <c r="H148" s="65">
        <v>0.0839</v>
      </c>
      <c r="I148" s="65">
        <v>0</v>
      </c>
      <c r="K148" s="69">
        <f>N139/1000*H148</f>
        <v>0.057974899999999996</v>
      </c>
      <c r="M148" s="73" t="s">
        <v>166</v>
      </c>
    </row>
    <row r="149" spans="6:13" s="65" customFormat="1" ht="12.75">
      <c r="F149" s="65" t="s">
        <v>200</v>
      </c>
      <c r="M149" s="65" t="s">
        <v>174</v>
      </c>
    </row>
    <row r="150" s="65" customFormat="1" ht="12.75">
      <c r="F150" s="65" t="s">
        <v>190</v>
      </c>
    </row>
    <row r="151" spans="5:9" s="65" customFormat="1" ht="12.75">
      <c r="E151" s="65" t="s">
        <v>201</v>
      </c>
      <c r="I151" s="65">
        <v>0</v>
      </c>
    </row>
    <row r="152" spans="2:4" s="65" customFormat="1" ht="12.75">
      <c r="B152" s="65" t="s">
        <v>202</v>
      </c>
      <c r="D152" s="65" t="s">
        <v>203</v>
      </c>
    </row>
    <row r="153" s="65" customFormat="1" ht="12.75">
      <c r="D153" s="65" t="s">
        <v>204</v>
      </c>
    </row>
    <row r="154" s="65" customFormat="1" ht="12.75">
      <c r="D154" s="65" t="s">
        <v>205</v>
      </c>
    </row>
    <row r="155" s="65" customFormat="1" ht="12.75">
      <c r="D155" s="65" t="s">
        <v>191</v>
      </c>
    </row>
    <row r="156" spans="4:11" s="65" customFormat="1" ht="12.75">
      <c r="D156" s="65" t="s">
        <v>158</v>
      </c>
      <c r="H156" s="65">
        <v>0.00338</v>
      </c>
      <c r="K156" s="69">
        <f>N160/1000*H156</f>
        <v>0</v>
      </c>
    </row>
    <row r="157" spans="4:11" s="65" customFormat="1" ht="12.75">
      <c r="D157" s="65" t="s">
        <v>196</v>
      </c>
      <c r="H157" s="65">
        <v>0.00376</v>
      </c>
      <c r="K157" s="69">
        <f>N161/1000*H157</f>
        <v>0</v>
      </c>
    </row>
    <row r="158" spans="4:11" s="65" customFormat="1" ht="12.75">
      <c r="D158" s="65" t="s">
        <v>198</v>
      </c>
      <c r="H158" s="65">
        <v>0.00414</v>
      </c>
      <c r="K158" s="69">
        <f>N162/1000*H158</f>
        <v>0.012014279999999999</v>
      </c>
    </row>
    <row r="159" s="65" customFormat="1" ht="12.75">
      <c r="M159" s="65" t="s">
        <v>206</v>
      </c>
    </row>
    <row r="160" spans="1:13" s="65" customFormat="1" ht="12.75">
      <c r="A160" s="65" t="s">
        <v>207</v>
      </c>
      <c r="B160" s="65" t="s">
        <v>208</v>
      </c>
      <c r="D160" s="65" t="s">
        <v>203</v>
      </c>
      <c r="M160" s="65" t="s">
        <v>158</v>
      </c>
    </row>
    <row r="161" spans="4:13" s="65" customFormat="1" ht="12.75">
      <c r="D161" s="65" t="s">
        <v>209</v>
      </c>
      <c r="M161" s="73" t="s">
        <v>166</v>
      </c>
    </row>
    <row r="162" spans="4:14" s="65" customFormat="1" ht="12.75">
      <c r="D162" s="65" t="s">
        <v>191</v>
      </c>
      <c r="M162" s="65" t="s">
        <v>174</v>
      </c>
      <c r="N162" s="65">
        <f>N134</f>
        <v>2902</v>
      </c>
    </row>
    <row r="163" spans="4:11" s="65" customFormat="1" ht="12.75">
      <c r="D163" s="65" t="s">
        <v>158</v>
      </c>
      <c r="H163" s="65">
        <v>0.02043</v>
      </c>
      <c r="I163" s="65">
        <v>0</v>
      </c>
      <c r="K163" s="65">
        <f>N147/1000*H163</f>
        <v>0</v>
      </c>
    </row>
    <row r="164" spans="4:13" s="65" customFormat="1" ht="12.75">
      <c r="D164" s="65" t="s">
        <v>196</v>
      </c>
      <c r="H164" s="65">
        <v>0.0227</v>
      </c>
      <c r="I164" s="65">
        <v>0</v>
      </c>
      <c r="K164" s="65">
        <f>N148/1000*H164</f>
        <v>0</v>
      </c>
      <c r="M164" s="65" t="s">
        <v>210</v>
      </c>
    </row>
    <row r="165" spans="4:13" s="65" customFormat="1" ht="12.75">
      <c r="D165" s="65" t="s">
        <v>198</v>
      </c>
      <c r="H165" s="65">
        <v>0.02497</v>
      </c>
      <c r="I165" s="65">
        <v>0</v>
      </c>
      <c r="K165" s="65">
        <f>N149/1000*H165</f>
        <v>0</v>
      </c>
      <c r="M165" s="65" t="s">
        <v>158</v>
      </c>
    </row>
    <row r="166" spans="4:13" s="65" customFormat="1" ht="12.75">
      <c r="D166" s="65" t="s">
        <v>211</v>
      </c>
      <c r="M166" s="73" t="s">
        <v>166</v>
      </c>
    </row>
    <row r="167" spans="4:14" s="65" customFormat="1" ht="12.75">
      <c r="D167" s="65" t="s">
        <v>191</v>
      </c>
      <c r="M167" s="65" t="s">
        <v>174</v>
      </c>
      <c r="N167" s="65">
        <v>60</v>
      </c>
    </row>
    <row r="168" spans="4:6" s="65" customFormat="1" ht="12.75">
      <c r="D168" s="65" t="s">
        <v>192</v>
      </c>
      <c r="F168" s="65" t="s">
        <v>193</v>
      </c>
    </row>
    <row r="169" spans="4:11" s="65" customFormat="1" ht="12.75">
      <c r="D169" s="65" t="s">
        <v>158</v>
      </c>
      <c r="H169" s="65">
        <v>0.00999</v>
      </c>
      <c r="K169" s="69">
        <f>N132/1000*H169</f>
        <v>0</v>
      </c>
    </row>
    <row r="170" spans="4:11" s="65" customFormat="1" ht="12.75">
      <c r="D170" s="65" t="s">
        <v>196</v>
      </c>
      <c r="H170" s="65">
        <v>0.0111</v>
      </c>
      <c r="K170" s="69">
        <f>N133/1000*H170</f>
        <v>0</v>
      </c>
    </row>
    <row r="171" spans="4:11" s="65" customFormat="1" ht="12.75">
      <c r="D171" s="65" t="s">
        <v>198</v>
      </c>
      <c r="H171" s="65">
        <v>0.01221</v>
      </c>
      <c r="I171" s="65">
        <v>0</v>
      </c>
      <c r="K171" s="69">
        <f>N134/1000*H171</f>
        <v>0.03543342</v>
      </c>
    </row>
    <row r="172" s="65" customFormat="1" ht="12.75">
      <c r="I172" s="65">
        <v>0</v>
      </c>
    </row>
    <row r="173" spans="5:9" s="65" customFormat="1" ht="12.75">
      <c r="E173" s="65" t="s">
        <v>201</v>
      </c>
      <c r="G173" s="65">
        <v>0</v>
      </c>
      <c r="I173" s="65">
        <v>0</v>
      </c>
    </row>
    <row r="174" spans="1:6" s="65" customFormat="1" ht="12.75">
      <c r="A174" s="65" t="s">
        <v>212</v>
      </c>
      <c r="B174" s="65" t="s">
        <v>213</v>
      </c>
      <c r="D174" s="65" t="s">
        <v>203</v>
      </c>
      <c r="F174" s="65" t="s">
        <v>193</v>
      </c>
    </row>
    <row r="175" spans="2:6" s="65" customFormat="1" ht="12.75">
      <c r="B175" s="65" t="s">
        <v>214</v>
      </c>
      <c r="D175" s="65" t="s">
        <v>209</v>
      </c>
      <c r="F175" s="65" t="s">
        <v>215</v>
      </c>
    </row>
    <row r="176" spans="4:6" s="65" customFormat="1" ht="12.75">
      <c r="D176" s="65" t="s">
        <v>191</v>
      </c>
      <c r="F176" s="65" t="s">
        <v>216</v>
      </c>
    </row>
    <row r="177" spans="4:11" s="65" customFormat="1" ht="12.75">
      <c r="D177" s="65" t="s">
        <v>158</v>
      </c>
      <c r="H177" s="65">
        <v>0.018432</v>
      </c>
      <c r="I177" s="65">
        <v>0</v>
      </c>
      <c r="K177" s="65">
        <f>N147/1000*H177</f>
        <v>0</v>
      </c>
    </row>
    <row r="178" spans="4:11" s="65" customFormat="1" ht="12.75">
      <c r="D178" s="65" t="s">
        <v>196</v>
      </c>
      <c r="H178" s="65">
        <v>0.02048</v>
      </c>
      <c r="I178" s="65">
        <v>0</v>
      </c>
      <c r="K178" s="65">
        <f>N148/1000*H178</f>
        <v>0</v>
      </c>
    </row>
    <row r="179" spans="4:11" s="65" customFormat="1" ht="12.75">
      <c r="D179" s="65" t="s">
        <v>198</v>
      </c>
      <c r="K179" s="65">
        <f>N149/1000*H179</f>
        <v>0</v>
      </c>
    </row>
    <row r="180" s="65" customFormat="1" ht="12.75">
      <c r="D180" s="65" t="s">
        <v>211</v>
      </c>
    </row>
    <row r="181" s="65" customFormat="1" ht="12.75">
      <c r="D181" s="65" t="s">
        <v>191</v>
      </c>
    </row>
    <row r="182" s="65" customFormat="1" ht="12.75">
      <c r="D182" s="65" t="s">
        <v>192</v>
      </c>
    </row>
    <row r="183" spans="4:11" s="65" customFormat="1" ht="12.75">
      <c r="D183" s="65" t="s">
        <v>158</v>
      </c>
      <c r="K183" s="69">
        <f>N132/1000*H183</f>
        <v>0</v>
      </c>
    </row>
    <row r="184" spans="4:11" s="65" customFormat="1" ht="12.75">
      <c r="D184" s="65" t="s">
        <v>196</v>
      </c>
      <c r="H184" s="65">
        <v>0.02295</v>
      </c>
      <c r="I184" s="65">
        <v>0</v>
      </c>
      <c r="K184" s="69">
        <f>N133/1000*H184</f>
        <v>0</v>
      </c>
    </row>
    <row r="185" spans="4:11" s="65" customFormat="1" ht="12.75">
      <c r="D185" s="65" t="s">
        <v>198</v>
      </c>
      <c r="H185" s="65">
        <v>0.025245</v>
      </c>
      <c r="I185" s="65">
        <v>0</v>
      </c>
      <c r="K185" s="69">
        <f>N134/1000*H185</f>
        <v>0.07326099</v>
      </c>
    </row>
    <row r="186" spans="5:11" s="65" customFormat="1" ht="12.75">
      <c r="E186" s="65" t="s">
        <v>201</v>
      </c>
      <c r="G186" s="65">
        <v>0</v>
      </c>
      <c r="I186" s="65">
        <v>0</v>
      </c>
      <c r="K186" s="69"/>
    </row>
    <row r="187" s="65" customFormat="1" ht="12.75">
      <c r="K187" s="69"/>
    </row>
    <row r="188" spans="1:11" s="65" customFormat="1" ht="12.75">
      <c r="A188" s="65" t="s">
        <v>217</v>
      </c>
      <c r="B188" s="65" t="s">
        <v>218</v>
      </c>
      <c r="D188" s="65" t="s">
        <v>203</v>
      </c>
      <c r="K188" s="69"/>
    </row>
    <row r="189" spans="4:11" s="65" customFormat="1" ht="12.75">
      <c r="D189" s="65" t="s">
        <v>209</v>
      </c>
      <c r="K189" s="69"/>
    </row>
    <row r="190" spans="4:11" s="65" customFormat="1" ht="12.75">
      <c r="D190" s="65" t="s">
        <v>191</v>
      </c>
      <c r="K190" s="69"/>
    </row>
    <row r="191" spans="4:11" s="65" customFormat="1" ht="12.75">
      <c r="D191" s="65" t="s">
        <v>158</v>
      </c>
      <c r="H191" s="65">
        <v>0.027585</v>
      </c>
      <c r="I191" s="65">
        <v>0</v>
      </c>
      <c r="K191" s="69">
        <f>N147/1000*H191</f>
        <v>0</v>
      </c>
    </row>
    <row r="192" spans="4:11" s="65" customFormat="1" ht="12.75">
      <c r="D192" s="65" t="s">
        <v>196</v>
      </c>
      <c r="H192" s="65">
        <v>0.3065</v>
      </c>
      <c r="I192" s="65">
        <v>0</v>
      </c>
      <c r="K192" s="69">
        <f>N148/1000*H192</f>
        <v>0</v>
      </c>
    </row>
    <row r="193" spans="4:11" s="65" customFormat="1" ht="12.75">
      <c r="D193" s="65" t="s">
        <v>198</v>
      </c>
      <c r="K193" s="69">
        <f>N149/1000*H193</f>
        <v>0</v>
      </c>
    </row>
    <row r="194" spans="4:11" s="65" customFormat="1" ht="12.75">
      <c r="D194" s="65" t="s">
        <v>211</v>
      </c>
      <c r="K194" s="69"/>
    </row>
    <row r="195" spans="4:11" s="65" customFormat="1" ht="12.75">
      <c r="D195" s="65" t="s">
        <v>191</v>
      </c>
      <c r="K195" s="69"/>
    </row>
    <row r="196" spans="4:11" s="65" customFormat="1" ht="12.75">
      <c r="D196" s="65" t="s">
        <v>192</v>
      </c>
      <c r="K196" s="69"/>
    </row>
    <row r="197" spans="4:11" s="65" customFormat="1" ht="12.75">
      <c r="D197" s="65" t="s">
        <v>158</v>
      </c>
      <c r="K197" s="69">
        <f>N132/1000*H197</f>
        <v>0</v>
      </c>
    </row>
    <row r="198" spans="4:11" s="65" customFormat="1" ht="12.75">
      <c r="D198" s="65" t="s">
        <v>196</v>
      </c>
      <c r="H198" s="65">
        <v>0.00539</v>
      </c>
      <c r="I198" s="65">
        <v>0</v>
      </c>
      <c r="K198" s="69">
        <f>N133/1000*H198</f>
        <v>0</v>
      </c>
    </row>
    <row r="199" spans="4:11" s="65" customFormat="1" ht="12.75">
      <c r="D199" s="65" t="s">
        <v>198</v>
      </c>
      <c r="H199" s="65">
        <v>0.005929</v>
      </c>
      <c r="I199" s="65">
        <v>0</v>
      </c>
      <c r="K199" s="69">
        <f>N134/1000*H199</f>
        <v>0.017205958</v>
      </c>
    </row>
    <row r="200" spans="5:11" s="65" customFormat="1" ht="12.75">
      <c r="E200" s="65" t="s">
        <v>201</v>
      </c>
      <c r="G200" s="65">
        <v>0</v>
      </c>
      <c r="I200" s="65">
        <v>0</v>
      </c>
      <c r="K200" s="69"/>
    </row>
    <row r="201" s="65" customFormat="1" ht="12.75">
      <c r="K201" s="69"/>
    </row>
    <row r="202" spans="1:11" s="65" customFormat="1" ht="12.75">
      <c r="A202" s="65" t="s">
        <v>219</v>
      </c>
      <c r="B202" s="65" t="s">
        <v>220</v>
      </c>
      <c r="D202" s="65" t="s">
        <v>203</v>
      </c>
      <c r="K202" s="69"/>
    </row>
    <row r="203" spans="2:11" s="65" customFormat="1" ht="12.75">
      <c r="B203" s="65" t="s">
        <v>214</v>
      </c>
      <c r="D203" s="65" t="s">
        <v>209</v>
      </c>
      <c r="K203" s="69"/>
    </row>
    <row r="204" spans="4:11" s="65" customFormat="1" ht="12.75">
      <c r="D204" s="65" t="s">
        <v>191</v>
      </c>
      <c r="K204" s="69"/>
    </row>
    <row r="205" spans="4:11" s="65" customFormat="1" ht="12.75">
      <c r="D205" s="65" t="s">
        <v>158</v>
      </c>
      <c r="H205" s="65">
        <v>0.022437</v>
      </c>
      <c r="I205" s="65">
        <v>0</v>
      </c>
      <c r="K205" s="69">
        <f>N147/1000*H205</f>
        <v>0</v>
      </c>
    </row>
    <row r="206" spans="4:11" s="65" customFormat="1" ht="12.75">
      <c r="D206" s="65" t="s">
        <v>196</v>
      </c>
      <c r="H206" s="65">
        <v>0.02493</v>
      </c>
      <c r="I206" s="65">
        <v>0</v>
      </c>
      <c r="K206" s="69">
        <f>N148/1000*H206</f>
        <v>0</v>
      </c>
    </row>
    <row r="207" spans="4:11" s="65" customFormat="1" ht="12.75">
      <c r="D207" s="65" t="s">
        <v>198</v>
      </c>
      <c r="K207" s="65">
        <f>N149/1000*H207</f>
        <v>0</v>
      </c>
    </row>
    <row r="208" s="65" customFormat="1" ht="12.75">
      <c r="D208" s="65" t="s">
        <v>211</v>
      </c>
    </row>
    <row r="209" s="65" customFormat="1" ht="12.75">
      <c r="D209" s="65" t="s">
        <v>191</v>
      </c>
    </row>
    <row r="210" s="65" customFormat="1" ht="12.75">
      <c r="D210" s="65" t="s">
        <v>192</v>
      </c>
    </row>
    <row r="211" spans="4:11" s="65" customFormat="1" ht="12.75">
      <c r="D211" s="65" t="s">
        <v>158</v>
      </c>
      <c r="K211" s="69">
        <f>N132/1000*H211</f>
        <v>0</v>
      </c>
    </row>
    <row r="212" spans="4:11" s="65" customFormat="1" ht="12.75">
      <c r="D212" s="65" t="s">
        <v>196</v>
      </c>
      <c r="H212" s="65">
        <v>0.00888</v>
      </c>
      <c r="I212" s="65">
        <v>0</v>
      </c>
      <c r="K212" s="69">
        <f>N133/1000*H212</f>
        <v>0</v>
      </c>
    </row>
    <row r="213" spans="4:11" s="65" customFormat="1" ht="12.75">
      <c r="D213" s="65" t="s">
        <v>198</v>
      </c>
      <c r="H213" s="65">
        <v>0.009768</v>
      </c>
      <c r="I213" s="65">
        <v>0</v>
      </c>
      <c r="K213" s="69">
        <f>N134/1000*H213</f>
        <v>0.028346736000000004</v>
      </c>
    </row>
    <row r="214" spans="5:11" s="65" customFormat="1" ht="12.75">
      <c r="E214" s="65" t="s">
        <v>201</v>
      </c>
      <c r="G214" s="65">
        <v>0</v>
      </c>
      <c r="I214" s="65">
        <v>0</v>
      </c>
      <c r="K214" s="69"/>
    </row>
    <row r="215" s="65" customFormat="1" ht="12.75">
      <c r="K215" s="69"/>
    </row>
    <row r="216" spans="2:4" s="65" customFormat="1" ht="12.75">
      <c r="B216" s="65" t="s">
        <v>221</v>
      </c>
      <c r="D216" s="65" t="s">
        <v>203</v>
      </c>
    </row>
    <row r="217" s="65" customFormat="1" ht="12.75">
      <c r="D217" s="65" t="s">
        <v>204</v>
      </c>
    </row>
    <row r="218" s="65" customFormat="1" ht="12.75">
      <c r="D218" s="65" t="s">
        <v>205</v>
      </c>
    </row>
    <row r="219" s="65" customFormat="1" ht="12.75">
      <c r="D219" s="65" t="s">
        <v>191</v>
      </c>
    </row>
    <row r="220" spans="4:11" s="65" customFormat="1" ht="12.75">
      <c r="D220" s="65" t="s">
        <v>158</v>
      </c>
      <c r="H220" s="65">
        <v>0.0243</v>
      </c>
      <c r="K220" s="69">
        <f>N160/1000*H220</f>
        <v>0</v>
      </c>
    </row>
    <row r="221" spans="4:11" s="65" customFormat="1" ht="12.75">
      <c r="D221" s="65" t="s">
        <v>196</v>
      </c>
      <c r="H221" s="65">
        <v>0.027</v>
      </c>
      <c r="K221" s="69">
        <f>N161/1000*H221</f>
        <v>0</v>
      </c>
    </row>
    <row r="222" spans="4:11" s="65" customFormat="1" ht="12.75">
      <c r="D222" s="65" t="s">
        <v>198</v>
      </c>
      <c r="H222" s="65">
        <v>0.0297</v>
      </c>
      <c r="K222" s="69">
        <f>N162/1000*H222</f>
        <v>0.0861894</v>
      </c>
    </row>
    <row r="223" spans="1:11" s="65" customFormat="1" ht="12.75">
      <c r="A223" s="65" t="s">
        <v>222</v>
      </c>
      <c r="B223" s="65" t="s">
        <v>223</v>
      </c>
      <c r="D223" s="65" t="s">
        <v>203</v>
      </c>
      <c r="K223" s="69"/>
    </row>
    <row r="224" spans="4:11" s="65" customFormat="1" ht="12.75">
      <c r="D224" s="65" t="s">
        <v>209</v>
      </c>
      <c r="K224" s="69"/>
    </row>
    <row r="225" spans="4:11" s="65" customFormat="1" ht="12.75">
      <c r="D225" s="65" t="s">
        <v>191</v>
      </c>
      <c r="K225" s="69"/>
    </row>
    <row r="226" spans="4:11" s="65" customFormat="1" ht="12.75">
      <c r="D226" s="65" t="s">
        <v>158</v>
      </c>
      <c r="H226" s="65">
        <v>0.01773</v>
      </c>
      <c r="I226" s="65">
        <v>0</v>
      </c>
      <c r="K226" s="69">
        <f>N147/1000*H226</f>
        <v>0</v>
      </c>
    </row>
    <row r="227" spans="4:11" s="65" customFormat="1" ht="12.75">
      <c r="D227" s="65" t="s">
        <v>196</v>
      </c>
      <c r="H227" s="65">
        <v>0.0197</v>
      </c>
      <c r="I227" s="65">
        <v>0</v>
      </c>
      <c r="K227" s="69">
        <f>N148/1000*H227</f>
        <v>0</v>
      </c>
    </row>
    <row r="228" spans="4:11" s="65" customFormat="1" ht="12.75">
      <c r="D228" s="65" t="s">
        <v>198</v>
      </c>
      <c r="K228" s="69">
        <f>N149/1000*H228</f>
        <v>0</v>
      </c>
    </row>
    <row r="229" spans="4:11" s="65" customFormat="1" ht="12.75">
      <c r="D229" s="65" t="s">
        <v>211</v>
      </c>
      <c r="K229" s="69"/>
    </row>
    <row r="230" spans="4:11" s="65" customFormat="1" ht="12.75">
      <c r="D230" s="65" t="s">
        <v>191</v>
      </c>
      <c r="K230" s="69"/>
    </row>
    <row r="231" spans="4:11" s="65" customFormat="1" ht="12.75">
      <c r="D231" s="65" t="s">
        <v>192</v>
      </c>
      <c r="K231" s="69"/>
    </row>
    <row r="232" spans="4:11" s="65" customFormat="1" ht="12.75">
      <c r="D232" s="65" t="s">
        <v>158</v>
      </c>
      <c r="K232" s="69">
        <f>N132/1000*H232</f>
        <v>0</v>
      </c>
    </row>
    <row r="233" spans="4:11" s="65" customFormat="1" ht="12.75">
      <c r="D233" s="65" t="s">
        <v>196</v>
      </c>
      <c r="H233" s="65">
        <v>0.0018</v>
      </c>
      <c r="I233" s="65">
        <v>0</v>
      </c>
      <c r="K233" s="69">
        <f>N133/1000*H233</f>
        <v>0</v>
      </c>
    </row>
    <row r="234" spans="4:11" s="65" customFormat="1" ht="12.75">
      <c r="D234" s="65" t="s">
        <v>198</v>
      </c>
      <c r="H234" s="65">
        <v>0.00198</v>
      </c>
      <c r="I234" s="65">
        <v>0</v>
      </c>
      <c r="K234" s="69">
        <f>N134/1000*H234</f>
        <v>0.0057459600000000005</v>
      </c>
    </row>
    <row r="235" spans="5:11" s="65" customFormat="1" ht="12.75">
      <c r="E235" s="65" t="s">
        <v>201</v>
      </c>
      <c r="G235" s="65">
        <v>0</v>
      </c>
      <c r="I235" s="65">
        <v>0</v>
      </c>
      <c r="K235" s="69"/>
    </row>
    <row r="236" s="65" customFormat="1" ht="12.75">
      <c r="K236" s="69"/>
    </row>
    <row r="237" spans="2:7" s="65" customFormat="1" ht="12.75">
      <c r="B237" s="65" t="s">
        <v>224</v>
      </c>
      <c r="D237" s="65" t="s">
        <v>203</v>
      </c>
      <c r="G237" s="65" t="s">
        <v>225</v>
      </c>
    </row>
    <row r="238" spans="4:7" s="65" customFormat="1" ht="12.75">
      <c r="D238" s="65" t="s">
        <v>204</v>
      </c>
      <c r="G238" s="65" t="s">
        <v>226</v>
      </c>
    </row>
    <row r="239" spans="4:7" s="65" customFormat="1" ht="12.75">
      <c r="D239" s="65" t="s">
        <v>205</v>
      </c>
      <c r="G239" s="65" t="s">
        <v>227</v>
      </c>
    </row>
    <row r="240" s="65" customFormat="1" ht="12.75">
      <c r="D240" s="65" t="s">
        <v>191</v>
      </c>
    </row>
    <row r="241" spans="4:11" s="65" customFormat="1" ht="12.75">
      <c r="D241" s="65" t="s">
        <v>158</v>
      </c>
      <c r="H241" s="65">
        <v>0.02367</v>
      </c>
      <c r="K241" s="69">
        <f>N142/1000*H241</f>
        <v>0</v>
      </c>
    </row>
    <row r="242" spans="4:11" s="65" customFormat="1" ht="12.75">
      <c r="D242" s="65" t="s">
        <v>196</v>
      </c>
      <c r="H242" s="65">
        <v>0.0263</v>
      </c>
      <c r="K242" s="69">
        <f>N143/1000*H242</f>
        <v>0</v>
      </c>
    </row>
    <row r="243" spans="4:11" s="65" customFormat="1" ht="12.75">
      <c r="D243" s="65" t="s">
        <v>198</v>
      </c>
      <c r="H243" s="65">
        <v>0.02893</v>
      </c>
      <c r="K243" s="69">
        <f>N144/1000*H243</f>
        <v>0.015992503999999998</v>
      </c>
    </row>
    <row r="244" s="65" customFormat="1" ht="12.75">
      <c r="K244" s="69"/>
    </row>
    <row r="245" spans="1:11" s="65" customFormat="1" ht="12.75">
      <c r="A245" s="65" t="s">
        <v>228</v>
      </c>
      <c r="B245" s="65" t="s">
        <v>229</v>
      </c>
      <c r="D245" s="65" t="s">
        <v>203</v>
      </c>
      <c r="K245" s="69"/>
    </row>
    <row r="246" spans="2:11" s="65" customFormat="1" ht="12.75">
      <c r="B246" s="65" t="s">
        <v>230</v>
      </c>
      <c r="D246" s="65" t="s">
        <v>209</v>
      </c>
      <c r="K246" s="69"/>
    </row>
    <row r="247" spans="4:11" s="65" customFormat="1" ht="12.75">
      <c r="D247" s="65" t="s">
        <v>191</v>
      </c>
      <c r="K247" s="69"/>
    </row>
    <row r="248" spans="4:11" s="65" customFormat="1" ht="12.75">
      <c r="D248" s="65" t="s">
        <v>158</v>
      </c>
      <c r="H248" s="65">
        <v>0.014679</v>
      </c>
      <c r="I248" s="65">
        <v>0</v>
      </c>
      <c r="K248" s="69">
        <f>N147/1000*H248</f>
        <v>0</v>
      </c>
    </row>
    <row r="249" spans="4:11" s="65" customFormat="1" ht="12.75">
      <c r="D249" s="65" t="s">
        <v>196</v>
      </c>
      <c r="H249" s="65">
        <v>0.01631</v>
      </c>
      <c r="I249" s="65">
        <v>0</v>
      </c>
      <c r="K249" s="69">
        <f>N148/1000*H249</f>
        <v>0</v>
      </c>
    </row>
    <row r="250" spans="4:11" s="65" customFormat="1" ht="12.75">
      <c r="D250" s="65" t="s">
        <v>198</v>
      </c>
      <c r="K250" s="69">
        <f>N149/1000*H250</f>
        <v>0</v>
      </c>
    </row>
    <row r="251" spans="4:11" s="65" customFormat="1" ht="12.75">
      <c r="D251" s="65" t="s">
        <v>211</v>
      </c>
      <c r="K251" s="69"/>
    </row>
    <row r="252" spans="4:11" s="65" customFormat="1" ht="12.75">
      <c r="D252" s="65" t="s">
        <v>191</v>
      </c>
      <c r="K252" s="69"/>
    </row>
    <row r="253" spans="4:11" s="65" customFormat="1" ht="12.75">
      <c r="D253" s="65" t="s">
        <v>192</v>
      </c>
      <c r="K253" s="69"/>
    </row>
    <row r="254" spans="4:11" s="65" customFormat="1" ht="12.75">
      <c r="D254" s="65" t="s">
        <v>158</v>
      </c>
      <c r="K254" s="69">
        <f>N132/1000*H254</f>
        <v>0</v>
      </c>
    </row>
    <row r="255" spans="4:11" s="65" customFormat="1" ht="12.75">
      <c r="D255" s="65" t="s">
        <v>196</v>
      </c>
      <c r="H255" s="65">
        <v>0.01631</v>
      </c>
      <c r="I255" s="65">
        <v>0</v>
      </c>
      <c r="K255" s="69">
        <f>N133/1000*H255</f>
        <v>0</v>
      </c>
    </row>
    <row r="256" spans="4:11" s="65" customFormat="1" ht="12.75">
      <c r="D256" s="65" t="s">
        <v>198</v>
      </c>
      <c r="H256" s="65">
        <v>0.017941</v>
      </c>
      <c r="I256" s="65">
        <v>0</v>
      </c>
      <c r="K256" s="69">
        <f>N134/1000*H256</f>
        <v>0.052064782</v>
      </c>
    </row>
    <row r="257" spans="5:11" s="65" customFormat="1" ht="12.75">
      <c r="E257" s="65" t="s">
        <v>201</v>
      </c>
      <c r="G257" s="65">
        <v>0</v>
      </c>
      <c r="I257" s="65">
        <v>0</v>
      </c>
      <c r="K257" s="69"/>
    </row>
    <row r="258" s="65" customFormat="1" ht="12.75">
      <c r="K258" s="69"/>
    </row>
    <row r="259" spans="1:11" s="65" customFormat="1" ht="12.75">
      <c r="A259" s="65" t="s">
        <v>231</v>
      </c>
      <c r="B259" s="65" t="s">
        <v>232</v>
      </c>
      <c r="D259" s="65" t="s">
        <v>203</v>
      </c>
      <c r="K259" s="69"/>
    </row>
    <row r="260" spans="2:11" s="65" customFormat="1" ht="12.75">
      <c r="B260" s="65" t="s">
        <v>233</v>
      </c>
      <c r="D260" s="65" t="s">
        <v>211</v>
      </c>
      <c r="K260" s="69"/>
    </row>
    <row r="261" spans="4:11" s="65" customFormat="1" ht="12.75">
      <c r="D261" s="65" t="s">
        <v>209</v>
      </c>
      <c r="K261" s="69"/>
    </row>
    <row r="262" spans="4:11" s="65" customFormat="1" ht="12.75">
      <c r="D262" s="65" t="s">
        <v>234</v>
      </c>
      <c r="K262" s="69"/>
    </row>
    <row r="263" spans="4:11" s="65" customFormat="1" ht="12.75">
      <c r="D263" s="65" t="s">
        <v>235</v>
      </c>
      <c r="F263" s="65" t="s">
        <v>236</v>
      </c>
      <c r="K263" s="69"/>
    </row>
    <row r="264" spans="4:11" s="65" customFormat="1" ht="12.75">
      <c r="D264" s="65" t="s">
        <v>191</v>
      </c>
      <c r="F264" s="65" t="s">
        <v>237</v>
      </c>
      <c r="K264" s="69"/>
    </row>
    <row r="265" spans="4:11" s="65" customFormat="1" ht="12.75">
      <c r="D265" s="65" t="s">
        <v>158</v>
      </c>
      <c r="H265" s="65">
        <v>41000</v>
      </c>
      <c r="I265" s="65">
        <v>0</v>
      </c>
      <c r="K265" s="69">
        <f>N160/H265</f>
        <v>0</v>
      </c>
    </row>
    <row r="266" spans="4:11" s="65" customFormat="1" ht="12.75">
      <c r="D266" s="65" t="s">
        <v>196</v>
      </c>
      <c r="H266" s="65">
        <v>39000</v>
      </c>
      <c r="I266" s="65">
        <v>0</v>
      </c>
      <c r="K266" s="69">
        <f>N161/H266</f>
        <v>0</v>
      </c>
    </row>
    <row r="267" spans="4:11" s="65" customFormat="1" ht="12.75">
      <c r="D267" s="65" t="s">
        <v>198</v>
      </c>
      <c r="H267" s="65">
        <v>37000</v>
      </c>
      <c r="I267" s="65">
        <v>0</v>
      </c>
      <c r="K267" s="69">
        <f>N162/H267</f>
        <v>0.07843243243243243</v>
      </c>
    </row>
    <row r="268" s="65" customFormat="1" ht="12.75">
      <c r="K268" s="69"/>
    </row>
    <row r="269" spans="4:11" s="65" customFormat="1" ht="12.75">
      <c r="D269" s="65" t="s">
        <v>238</v>
      </c>
      <c r="K269" s="69"/>
    </row>
    <row r="270" spans="4:11" s="65" customFormat="1" ht="12.75">
      <c r="D270" s="65" t="s">
        <v>239</v>
      </c>
      <c r="F270" s="65" t="s">
        <v>240</v>
      </c>
      <c r="K270" s="69"/>
    </row>
    <row r="271" spans="4:11" s="65" customFormat="1" ht="12.75">
      <c r="D271" s="65" t="s">
        <v>191</v>
      </c>
      <c r="K271" s="69"/>
    </row>
    <row r="272" spans="4:11" s="65" customFormat="1" ht="12.75">
      <c r="D272" s="65" t="s">
        <v>158</v>
      </c>
      <c r="H272" s="65">
        <v>450</v>
      </c>
      <c r="I272" s="65">
        <v>0</v>
      </c>
      <c r="K272" s="69">
        <f>N165/H272</f>
        <v>0</v>
      </c>
    </row>
    <row r="273" spans="4:11" s="65" customFormat="1" ht="12.75">
      <c r="D273" s="65" t="s">
        <v>196</v>
      </c>
      <c r="H273" s="65">
        <v>375</v>
      </c>
      <c r="I273" s="65">
        <v>0</v>
      </c>
      <c r="K273" s="69">
        <f>N166/H273</f>
        <v>0</v>
      </c>
    </row>
    <row r="274" spans="4:11" s="65" customFormat="1" ht="12.75">
      <c r="D274" s="65" t="s">
        <v>198</v>
      </c>
      <c r="H274" s="65">
        <v>310</v>
      </c>
      <c r="I274" s="65">
        <v>0</v>
      </c>
      <c r="K274" s="69">
        <f>N167/H274</f>
        <v>0.1935483870967742</v>
      </c>
    </row>
    <row r="275" spans="5:11" s="65" customFormat="1" ht="12.75">
      <c r="E275" s="65" t="s">
        <v>201</v>
      </c>
      <c r="G275" s="65">
        <v>0</v>
      </c>
      <c r="I275" s="65">
        <v>0</v>
      </c>
      <c r="K275" s="69"/>
    </row>
    <row r="276" s="65" customFormat="1" ht="12.75">
      <c r="K276" s="69"/>
    </row>
    <row r="277" spans="1:11" s="65" customFormat="1" ht="12.75">
      <c r="A277" s="65" t="s">
        <v>241</v>
      </c>
      <c r="B277" s="65" t="s">
        <v>242</v>
      </c>
      <c r="D277" s="65" t="s">
        <v>243</v>
      </c>
      <c r="K277" s="69"/>
    </row>
    <row r="278" spans="4:11" s="65" customFormat="1" ht="12.75">
      <c r="D278" s="65" t="s">
        <v>244</v>
      </c>
      <c r="F278" s="65" t="s">
        <v>240</v>
      </c>
      <c r="K278" s="69"/>
    </row>
    <row r="279" spans="4:11" s="65" customFormat="1" ht="12.75">
      <c r="D279" s="65" t="s">
        <v>245</v>
      </c>
      <c r="K279" s="69"/>
    </row>
    <row r="280" spans="4:11" s="65" customFormat="1" ht="12.75">
      <c r="D280" s="65" t="s">
        <v>158</v>
      </c>
      <c r="H280" s="65">
        <v>2350</v>
      </c>
      <c r="I280" s="65">
        <v>0</v>
      </c>
      <c r="K280" s="69">
        <f>N165/H280</f>
        <v>0</v>
      </c>
    </row>
    <row r="281" spans="4:11" s="65" customFormat="1" ht="12.75">
      <c r="D281" s="65" t="s">
        <v>196</v>
      </c>
      <c r="H281" s="65">
        <v>2250</v>
      </c>
      <c r="I281" s="65">
        <v>0</v>
      </c>
      <c r="K281" s="69">
        <f>N166/H281</f>
        <v>0</v>
      </c>
    </row>
    <row r="282" spans="4:11" s="65" customFormat="1" ht="12.75">
      <c r="D282" s="65" t="s">
        <v>198</v>
      </c>
      <c r="H282" s="65">
        <v>2200</v>
      </c>
      <c r="I282" s="65">
        <v>0</v>
      </c>
      <c r="K282" s="69">
        <f>N167/H282</f>
        <v>0.02727272727272727</v>
      </c>
    </row>
    <row r="283" spans="5:11" s="65" customFormat="1" ht="12.75">
      <c r="E283" s="65" t="s">
        <v>201</v>
      </c>
      <c r="G283" s="65">
        <v>0</v>
      </c>
      <c r="I283" s="65">
        <v>0</v>
      </c>
      <c r="K283" s="69"/>
    </row>
    <row r="284" s="65" customFormat="1" ht="12.75">
      <c r="K284" s="69">
        <f>K146+K147+K148+K156+K157+K158+K163+K164+K165+K169+K170+K171+K177+K178+K179+K183+K184+K185+K191+K192+K193+K197+K198+K199+K205+K206+K207+K211+K212+K213+K220+K221+K222+K226+K227+K228+K232+K233+K234+K241+K242+K243+K248+K249+K250+K254+K255+K256+K265+K266+K267+K272+K273+K274+K280+K281+K282</f>
        <v>0.6834824768019339</v>
      </c>
    </row>
    <row r="285" spans="1:11" s="65" customFormat="1" ht="12.75">
      <c r="A285" s="65" t="s">
        <v>246</v>
      </c>
      <c r="B285" s="65" t="s">
        <v>247</v>
      </c>
      <c r="F285" s="65" t="s">
        <v>248</v>
      </c>
      <c r="I285" s="65">
        <v>1</v>
      </c>
      <c r="K285" s="69">
        <f>K284*1.12</f>
        <v>0.765500374018166</v>
      </c>
    </row>
    <row r="286" s="65" customFormat="1" ht="12.75">
      <c r="B286" s="65" t="s">
        <v>249</v>
      </c>
    </row>
    <row r="287" s="65" customFormat="1" ht="12.75">
      <c r="B287" s="65" t="s">
        <v>250</v>
      </c>
    </row>
    <row r="288" s="65" customFormat="1" ht="12.75"/>
    <row r="289" spans="1:9" s="65" customFormat="1" ht="12.75">
      <c r="A289" s="65" t="s">
        <v>251</v>
      </c>
      <c r="B289" s="65" t="s">
        <v>252</v>
      </c>
      <c r="I289" s="65">
        <v>2</v>
      </c>
    </row>
    <row r="290" spans="1:9" s="65" customFormat="1" ht="12.75">
      <c r="A290" s="65" t="s">
        <v>253</v>
      </c>
      <c r="B290" s="65" t="s">
        <v>254</v>
      </c>
      <c r="I290" s="65">
        <v>1</v>
      </c>
    </row>
    <row r="291" spans="1:9" s="65" customFormat="1" ht="12.75">
      <c r="A291" s="65" t="s">
        <v>255</v>
      </c>
      <c r="B291" s="65" t="s">
        <v>256</v>
      </c>
      <c r="I291" s="65">
        <v>1</v>
      </c>
    </row>
    <row r="292" spans="2:9" s="65" customFormat="1" ht="12.75">
      <c r="B292" s="65" t="s">
        <v>257</v>
      </c>
      <c r="I292" s="65">
        <v>5</v>
      </c>
    </row>
    <row r="293" s="65" customFormat="1" ht="12.75">
      <c r="F293" s="65" t="s">
        <v>258</v>
      </c>
    </row>
    <row r="294" spans="1:9" s="65" customFormat="1" ht="12.75">
      <c r="A294" s="65" t="s">
        <v>259</v>
      </c>
      <c r="B294" s="65" t="s">
        <v>260</v>
      </c>
      <c r="E294" s="65" t="s">
        <v>261</v>
      </c>
      <c r="H294" s="65">
        <v>1200</v>
      </c>
      <c r="I294" s="65">
        <f>G294/H294</f>
        <v>0</v>
      </c>
    </row>
    <row r="295" spans="5:9" s="65" customFormat="1" ht="12.75">
      <c r="E295" s="65" t="s">
        <v>262</v>
      </c>
      <c r="G295" s="65">
        <v>1004</v>
      </c>
      <c r="H295" s="65">
        <v>1650</v>
      </c>
      <c r="I295" s="69">
        <f>G295/H295</f>
        <v>0.6084848484848485</v>
      </c>
    </row>
    <row r="296" spans="5:9" s="65" customFormat="1" ht="12.75">
      <c r="E296" s="65" t="s">
        <v>263</v>
      </c>
      <c r="G296" s="65">
        <v>4914</v>
      </c>
      <c r="H296" s="65">
        <v>9000</v>
      </c>
      <c r="I296" s="69">
        <f>G296/H296</f>
        <v>0.546</v>
      </c>
    </row>
    <row r="297" spans="3:9" s="65" customFormat="1" ht="12.75">
      <c r="C297" s="65" t="s">
        <v>201</v>
      </c>
      <c r="G297" s="65">
        <f>G294+G295+G296</f>
        <v>5918</v>
      </c>
      <c r="I297" s="69">
        <f>I294+I295+I296</f>
        <v>1.1544848484848487</v>
      </c>
    </row>
    <row r="298" s="65" customFormat="1" ht="12.75">
      <c r="F298" s="65" t="s">
        <v>258</v>
      </c>
    </row>
    <row r="299" spans="1:9" s="65" customFormat="1" ht="12.75">
      <c r="A299" s="65" t="s">
        <v>264</v>
      </c>
      <c r="B299" s="65" t="s">
        <v>265</v>
      </c>
      <c r="E299" s="65" t="s">
        <v>266</v>
      </c>
      <c r="G299" s="65">
        <v>276.5</v>
      </c>
      <c r="H299" s="65">
        <v>800</v>
      </c>
      <c r="I299" s="69">
        <f>G299/H299</f>
        <v>0.345625</v>
      </c>
    </row>
    <row r="300" spans="2:9" s="65" customFormat="1" ht="12.75">
      <c r="B300" s="65" t="s">
        <v>267</v>
      </c>
      <c r="E300" s="65" t="s">
        <v>268</v>
      </c>
      <c r="H300" s="65">
        <v>960</v>
      </c>
      <c r="I300" s="69">
        <f>G300/H300</f>
        <v>0</v>
      </c>
    </row>
    <row r="301" s="65" customFormat="1" ht="12.75">
      <c r="E301" s="65" t="s">
        <v>269</v>
      </c>
    </row>
    <row r="302" spans="3:9" s="65" customFormat="1" ht="12.75">
      <c r="C302" s="65" t="s">
        <v>201</v>
      </c>
      <c r="G302" s="65">
        <f>G299+G300+G301</f>
        <v>276.5</v>
      </c>
      <c r="I302" s="69">
        <f>I299+I300</f>
        <v>0.345625</v>
      </c>
    </row>
    <row r="303" s="65" customFormat="1" ht="12.75">
      <c r="F303" s="65" t="s">
        <v>270</v>
      </c>
    </row>
    <row r="304" spans="1:9" s="65" customFormat="1" ht="12.75">
      <c r="A304" s="65" t="s">
        <v>271</v>
      </c>
      <c r="B304" s="65" t="s">
        <v>272</v>
      </c>
      <c r="E304" s="65" t="s">
        <v>273</v>
      </c>
      <c r="H304" s="65">
        <v>500</v>
      </c>
      <c r="I304" s="69">
        <f>G304/H304</f>
        <v>0</v>
      </c>
    </row>
    <row r="305" spans="5:9" s="65" customFormat="1" ht="12.75">
      <c r="E305" s="65" t="s">
        <v>274</v>
      </c>
      <c r="H305" s="65">
        <v>700</v>
      </c>
      <c r="I305" s="69">
        <f>G305/H305</f>
        <v>0</v>
      </c>
    </row>
    <row r="306" s="65" customFormat="1" ht="12.75">
      <c r="E306" s="65" t="s">
        <v>275</v>
      </c>
    </row>
    <row r="307" spans="3:9" s="65" customFormat="1" ht="12.75">
      <c r="C307" s="65" t="s">
        <v>201</v>
      </c>
      <c r="G307" s="65">
        <f>G304+G305</f>
        <v>0</v>
      </c>
      <c r="I307" s="69">
        <f>I304+I305</f>
        <v>0</v>
      </c>
    </row>
    <row r="308" spans="1:2" s="65" customFormat="1" ht="12.75">
      <c r="A308" s="65" t="s">
        <v>276</v>
      </c>
      <c r="B308" s="65" t="s">
        <v>277</v>
      </c>
    </row>
    <row r="309" spans="2:9" s="65" customFormat="1" ht="12.75">
      <c r="B309" s="65" t="s">
        <v>278</v>
      </c>
      <c r="I309" s="65">
        <v>2</v>
      </c>
    </row>
    <row r="310" s="65" customFormat="1" ht="12.75"/>
  </sheetData>
  <sheetProtection/>
  <mergeCells count="44">
    <mergeCell ref="A1:K1"/>
    <mergeCell ref="A2:K2"/>
    <mergeCell ref="A4:K5"/>
    <mergeCell ref="A6:K6"/>
    <mergeCell ref="A13:H13"/>
    <mergeCell ref="A15:G15"/>
    <mergeCell ref="A19:F19"/>
    <mergeCell ref="A21:F21"/>
    <mergeCell ref="A24:F24"/>
    <mergeCell ref="A26:G26"/>
    <mergeCell ref="A27:G27"/>
    <mergeCell ref="A42:G42"/>
    <mergeCell ref="A28:G28"/>
    <mergeCell ref="A30:E30"/>
    <mergeCell ref="A32:G32"/>
    <mergeCell ref="A33:G33"/>
    <mergeCell ref="A34:G34"/>
    <mergeCell ref="A35:G35"/>
    <mergeCell ref="A43:F43"/>
    <mergeCell ref="A44:F44"/>
    <mergeCell ref="A49:F49"/>
    <mergeCell ref="A53:G53"/>
    <mergeCell ref="A54:E54"/>
    <mergeCell ref="A36:G36"/>
    <mergeCell ref="A37:G37"/>
    <mergeCell ref="A38:G38"/>
    <mergeCell ref="A40:G40"/>
    <mergeCell ref="A41:G41"/>
    <mergeCell ref="A55:G55"/>
    <mergeCell ref="A56:G56"/>
    <mergeCell ref="A59:D59"/>
    <mergeCell ref="A60:F60"/>
    <mergeCell ref="A63:E63"/>
    <mergeCell ref="C67:D67"/>
    <mergeCell ref="A116:D116"/>
    <mergeCell ref="C97:I97"/>
    <mergeCell ref="A106:G106"/>
    <mergeCell ref="A110:E110"/>
    <mergeCell ref="A112:G112"/>
    <mergeCell ref="A70:F70"/>
    <mergeCell ref="A71:G71"/>
    <mergeCell ref="A72:D72"/>
    <mergeCell ref="E72:G72"/>
    <mergeCell ref="A73:E7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6 M56 M59 M66 L76:M76 H100:H102 H104 H106 K106 H112 H114 H116 H118 H120" evalError="1"/>
  </ignoredError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11"/>
  <sheetViews>
    <sheetView zoomScalePageLayoutView="0" workbookViewId="0" topLeftCell="A1">
      <selection activeCell="K59" sqref="K59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1082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9.11*1.042</f>
        <v>9.49262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65">
        <f>L6*4%</f>
        <v>0.3797048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58767.07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K17+K30+K46+K59+K67+K77</f>
        <v>38971.385380510976</v>
      </c>
      <c r="L15" s="68"/>
      <c r="M15" s="65" t="s">
        <v>73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74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H19+H21+H22+H24+H26+H27+H28+H20</f>
        <v>6519.415784253788</v>
      </c>
      <c r="M17" s="65" t="s">
        <v>76</v>
      </c>
      <c r="O17" s="69">
        <f>I299</f>
        <v>0.7433939393939395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I304</f>
        <v>0.5125</v>
      </c>
    </row>
    <row r="19" spans="1:15" ht="12.75">
      <c r="A19" s="113" t="s">
        <v>1083</v>
      </c>
      <c r="B19" s="113"/>
      <c r="C19" s="113"/>
      <c r="D19" s="113"/>
      <c r="E19" s="113"/>
      <c r="F19" s="113"/>
      <c r="G19" s="22"/>
      <c r="H19" s="23">
        <f>O17*2600*1.75*1.07</f>
        <v>3619.213393939395</v>
      </c>
      <c r="I19" s="22"/>
      <c r="J19" s="22"/>
      <c r="K19" s="23"/>
      <c r="M19" s="65" t="s">
        <v>80</v>
      </c>
      <c r="O19" s="69"/>
    </row>
    <row r="20" spans="1:15" ht="12.75" customHeight="1">
      <c r="A20" s="24" t="s">
        <v>1084</v>
      </c>
      <c r="B20" s="24"/>
      <c r="C20" s="24"/>
      <c r="D20" s="24"/>
      <c r="E20" s="24"/>
      <c r="F20" s="24"/>
      <c r="G20" s="22"/>
      <c r="H20" s="23">
        <f>O18*2203*1.3*1.07</f>
        <v>1570.4911625</v>
      </c>
      <c r="I20" s="22"/>
      <c r="J20" s="22"/>
      <c r="K20" s="23"/>
      <c r="M20" s="65" t="s">
        <v>82</v>
      </c>
      <c r="O20" s="69">
        <v>4354.4</v>
      </c>
    </row>
    <row r="21" spans="1:15" ht="12.75" hidden="1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83</v>
      </c>
      <c r="O21" s="65">
        <v>242</v>
      </c>
    </row>
    <row r="22" spans="1:16" ht="12.75">
      <c r="A22" s="23">
        <f>H19+H20</f>
        <v>5189.704556439395</v>
      </c>
      <c r="B22" s="22" t="s">
        <v>84</v>
      </c>
      <c r="C22" s="22"/>
      <c r="D22" s="22"/>
      <c r="E22" s="22"/>
      <c r="F22" s="22"/>
      <c r="G22" s="22"/>
      <c r="H22" s="23">
        <f>A22*0.142</f>
        <v>736.938047014394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1085</v>
      </c>
      <c r="B24" s="113"/>
      <c r="C24" s="113"/>
      <c r="D24" s="113"/>
      <c r="E24" s="113"/>
      <c r="F24" s="113"/>
      <c r="G24" s="22"/>
      <c r="H24" s="23">
        <f>0.057*O20</f>
        <v>248.2008</v>
      </c>
      <c r="I24" s="23"/>
      <c r="J24" s="22"/>
      <c r="K24" s="23"/>
      <c r="N24" s="65">
        <v>10</v>
      </c>
      <c r="P24" s="65">
        <f>O24/2</f>
        <v>0</v>
      </c>
    </row>
    <row r="25" spans="1:11" ht="12.75">
      <c r="A25" s="24" t="s">
        <v>1086</v>
      </c>
      <c r="B25" s="24"/>
      <c r="C25" s="24"/>
      <c r="D25" s="24"/>
      <c r="E25" s="24"/>
      <c r="F25" s="24"/>
      <c r="G25" s="22"/>
      <c r="H25" s="23">
        <f>O20*0.0085</f>
        <v>37.0124</v>
      </c>
      <c r="I25" s="23"/>
      <c r="J25" s="22"/>
      <c r="K25" s="23"/>
    </row>
    <row r="26" spans="1:13" ht="12.75">
      <c r="A26" s="113" t="s">
        <v>1087</v>
      </c>
      <c r="B26" s="113"/>
      <c r="C26" s="113"/>
      <c r="D26" s="113"/>
      <c r="E26" s="113"/>
      <c r="F26" s="113"/>
      <c r="G26" s="113"/>
      <c r="H26" s="23">
        <f>0.005*O20</f>
        <v>21.772</v>
      </c>
      <c r="I26" s="22"/>
      <c r="J26" s="22"/>
      <c r="K26" s="23"/>
      <c r="M26" s="65" t="s">
        <v>90</v>
      </c>
    </row>
    <row r="27" spans="1:15" ht="12.75">
      <c r="A27" s="113" t="s">
        <v>1088</v>
      </c>
      <c r="B27" s="113"/>
      <c r="C27" s="113"/>
      <c r="D27" s="113"/>
      <c r="E27" s="113"/>
      <c r="F27" s="113"/>
      <c r="G27" s="113"/>
      <c r="H27" s="23">
        <f>O20*0.017</f>
        <v>74.0248</v>
      </c>
      <c r="I27" s="22"/>
      <c r="J27" s="22">
        <v>13606.82</v>
      </c>
      <c r="K27" s="23"/>
      <c r="M27" s="65" t="s">
        <v>92</v>
      </c>
      <c r="O27" s="65">
        <v>36</v>
      </c>
    </row>
    <row r="28" spans="1:15" ht="12.75">
      <c r="A28" s="113" t="s">
        <v>93</v>
      </c>
      <c r="B28" s="113"/>
      <c r="C28" s="113"/>
      <c r="D28" s="113"/>
      <c r="E28" s="113"/>
      <c r="F28" s="113"/>
      <c r="G28" s="113"/>
      <c r="H28" s="23">
        <f>0.054*O20*1.058</f>
        <v>248.77558079999997</v>
      </c>
      <c r="I28" s="22"/>
      <c r="J28" s="22"/>
      <c r="K28" s="23"/>
      <c r="M28" s="65" t="s">
        <v>94</v>
      </c>
      <c r="O28" s="65">
        <v>764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H32+H33+H34+H35+H36+H37+H38+H40+H41+H42+H43+K41+H39+H44</f>
        <v>7732.33666</v>
      </c>
      <c r="M30" s="65" t="s">
        <v>96</v>
      </c>
      <c r="O30" s="69">
        <f>K287</f>
        <v>1.1988725768291955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2.688888888888889</v>
      </c>
    </row>
    <row r="32" spans="1:11" ht="12.75">
      <c r="A32" s="113" t="s">
        <v>1089</v>
      </c>
      <c r="B32" s="113"/>
      <c r="C32" s="113"/>
      <c r="D32" s="113"/>
      <c r="E32" s="113"/>
      <c r="F32" s="113"/>
      <c r="G32" s="113"/>
      <c r="H32" s="28">
        <f>(O21*1.5)/12*90.3*1.058</f>
        <v>2890.00635</v>
      </c>
      <c r="I32" s="22"/>
      <c r="J32" s="22"/>
      <c r="K32" s="29"/>
    </row>
    <row r="33" spans="1:11" ht="12.75">
      <c r="A33" s="113" t="s">
        <v>1090</v>
      </c>
      <c r="B33" s="113"/>
      <c r="C33" s="113"/>
      <c r="D33" s="113"/>
      <c r="E33" s="113"/>
      <c r="F33" s="113"/>
      <c r="G33" s="113"/>
      <c r="H33" s="28">
        <f>O21*1.5*33.1/12*1.058</f>
        <v>1059.34895</v>
      </c>
      <c r="I33" s="22"/>
      <c r="J33" s="22"/>
      <c r="K33" s="29"/>
    </row>
    <row r="34" spans="1:11" ht="12.75">
      <c r="A34" s="113" t="s">
        <v>1091</v>
      </c>
      <c r="B34" s="113"/>
      <c r="C34" s="113"/>
      <c r="D34" s="113"/>
      <c r="E34" s="113"/>
      <c r="F34" s="113"/>
      <c r="G34" s="113"/>
      <c r="H34" s="28">
        <f>O28*2.48</f>
        <v>1894.72</v>
      </c>
      <c r="I34" s="22"/>
      <c r="J34" s="22"/>
      <c r="K34" s="29"/>
    </row>
    <row r="35" spans="1:11" ht="12.75">
      <c r="A35" s="113" t="s">
        <v>1092</v>
      </c>
      <c r="B35" s="113"/>
      <c r="C35" s="113"/>
      <c r="D35" s="113"/>
      <c r="E35" s="113"/>
      <c r="F35" s="113"/>
      <c r="G35" s="113"/>
      <c r="H35" s="28">
        <f>O20*0.0277</f>
        <v>120.61687999999998</v>
      </c>
      <c r="I35" s="22"/>
      <c r="J35" s="22"/>
      <c r="K35" s="29"/>
    </row>
    <row r="36" spans="1:11" ht="12.75">
      <c r="A36" s="113" t="s">
        <v>1093</v>
      </c>
      <c r="B36" s="113"/>
      <c r="C36" s="113"/>
      <c r="D36" s="113"/>
      <c r="E36" s="113"/>
      <c r="F36" s="113"/>
      <c r="G36" s="113"/>
      <c r="H36" s="28">
        <f>O20*0.0027</f>
        <v>11.756879999999999</v>
      </c>
      <c r="I36" s="22"/>
      <c r="J36" s="22"/>
      <c r="K36" s="29"/>
    </row>
    <row r="37" spans="1:11" ht="12.75">
      <c r="A37" s="113" t="s">
        <v>1094</v>
      </c>
      <c r="B37" s="113"/>
      <c r="C37" s="113"/>
      <c r="D37" s="113"/>
      <c r="E37" s="113"/>
      <c r="F37" s="113"/>
      <c r="G37" s="113"/>
      <c r="H37" s="28">
        <f>O27*4.81/12</f>
        <v>14.43</v>
      </c>
      <c r="I37" s="22"/>
      <c r="J37" s="22"/>
      <c r="K37" s="29"/>
    </row>
    <row r="38" spans="1:15" ht="12.75">
      <c r="A38" s="113" t="s">
        <v>1095</v>
      </c>
      <c r="B38" s="113"/>
      <c r="C38" s="113"/>
      <c r="D38" s="113"/>
      <c r="E38" s="113"/>
      <c r="F38" s="113"/>
      <c r="G38" s="113"/>
      <c r="H38" s="28">
        <f>O38*80/12/3</f>
        <v>200</v>
      </c>
      <c r="I38" s="22"/>
      <c r="J38" s="22"/>
      <c r="K38" s="29"/>
      <c r="M38" s="65" t="s">
        <v>586</v>
      </c>
      <c r="O38" s="65">
        <v>90</v>
      </c>
    </row>
    <row r="39" spans="1:11" ht="12.75">
      <c r="A39" s="30" t="s">
        <v>1096</v>
      </c>
      <c r="B39" s="30"/>
      <c r="C39" s="30"/>
      <c r="D39" s="30"/>
      <c r="E39" s="30"/>
      <c r="F39" s="30"/>
      <c r="G39" s="30"/>
      <c r="H39" s="31">
        <f>O20*0.216</f>
        <v>940.5503999999999</v>
      </c>
      <c r="I39" s="22"/>
      <c r="J39" s="22"/>
      <c r="K39" s="29"/>
    </row>
    <row r="40" spans="1:11" ht="12.75">
      <c r="A40" s="113" t="s">
        <v>1097</v>
      </c>
      <c r="B40" s="113"/>
      <c r="C40" s="113"/>
      <c r="D40" s="113"/>
      <c r="E40" s="113"/>
      <c r="F40" s="113"/>
      <c r="G40" s="113"/>
      <c r="H40" s="28">
        <f>O20*0.027</f>
        <v>117.56879999999998</v>
      </c>
      <c r="I40" s="22"/>
      <c r="J40" s="32"/>
      <c r="K40" s="29"/>
    </row>
    <row r="41" spans="1:11" ht="12.75">
      <c r="A41" s="113" t="s">
        <v>1098</v>
      </c>
      <c r="B41" s="113"/>
      <c r="C41" s="113"/>
      <c r="D41" s="113"/>
      <c r="E41" s="113"/>
      <c r="F41" s="113"/>
      <c r="G41" s="113"/>
      <c r="H41" s="28">
        <f>O20*0.022</f>
        <v>95.79679999999999</v>
      </c>
      <c r="I41" s="22"/>
      <c r="J41" s="22"/>
      <c r="K41" s="29"/>
    </row>
    <row r="42" spans="1:11" ht="12.75">
      <c r="A42" s="113" t="s">
        <v>1099</v>
      </c>
      <c r="B42" s="113"/>
      <c r="C42" s="113"/>
      <c r="D42" s="113"/>
      <c r="E42" s="113"/>
      <c r="F42" s="113"/>
      <c r="G42" s="113"/>
      <c r="H42" s="28">
        <f>O20*0.022</f>
        <v>95.79679999999999</v>
      </c>
      <c r="I42" s="22"/>
      <c r="J42" s="22"/>
      <c r="K42" s="29"/>
    </row>
    <row r="43" spans="1:11" ht="12.75">
      <c r="A43" s="113" t="s">
        <v>1100</v>
      </c>
      <c r="B43" s="113"/>
      <c r="C43" s="113"/>
      <c r="D43" s="113"/>
      <c r="E43" s="113"/>
      <c r="F43" s="113"/>
      <c r="G43" s="24"/>
      <c r="H43" s="28">
        <f>O20*0.053</f>
        <v>230.78319999999997</v>
      </c>
      <c r="I43" s="22"/>
      <c r="J43" s="22"/>
      <c r="K43" s="29"/>
    </row>
    <row r="44" spans="1:11" ht="12.75">
      <c r="A44" s="113" t="s">
        <v>1101</v>
      </c>
      <c r="B44" s="113"/>
      <c r="C44" s="113"/>
      <c r="D44" s="113"/>
      <c r="E44" s="113"/>
      <c r="F44" s="113"/>
      <c r="G44" s="24"/>
      <c r="H44" s="28">
        <f>O20*0.014</f>
        <v>60.9616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3" ht="15.75">
      <c r="A46" s="20" t="s">
        <v>111</v>
      </c>
      <c r="B46" s="20"/>
      <c r="C46" s="20"/>
      <c r="D46" s="20"/>
      <c r="E46" s="20"/>
      <c r="F46" s="20"/>
      <c r="G46" s="20"/>
      <c r="H46" s="27"/>
      <c r="I46" s="20"/>
      <c r="J46" s="20"/>
      <c r="K46" s="21">
        <f>H49+H51+H52+H53+H54+H55+H56+H57</f>
        <v>17389.435976257188</v>
      </c>
      <c r="M46" s="71" t="e">
        <f>K46/309084*#REF!</f>
        <v>#REF!</v>
      </c>
    </row>
    <row r="47" spans="1:11" ht="12.75">
      <c r="A47" s="22"/>
      <c r="B47" s="22" t="s">
        <v>64</v>
      </c>
      <c r="C47" s="22"/>
      <c r="D47" s="22"/>
      <c r="E47" s="22"/>
      <c r="F47" s="22"/>
      <c r="G47" s="22"/>
      <c r="H47" s="28"/>
      <c r="I47" s="22"/>
      <c r="J47" s="22"/>
      <c r="K47" s="29"/>
    </row>
    <row r="48" spans="1:11" ht="12.75">
      <c r="A48" s="33" t="s">
        <v>112</v>
      </c>
      <c r="B48" s="33"/>
      <c r="C48" s="33"/>
      <c r="D48" s="33"/>
      <c r="E48" s="33"/>
      <c r="F48" s="33"/>
      <c r="G48" s="33"/>
      <c r="H48" s="34"/>
      <c r="I48" s="33"/>
      <c r="J48" s="33"/>
      <c r="K48" s="35"/>
    </row>
    <row r="49" spans="1:11" ht="12.75">
      <c r="A49" s="111" t="s">
        <v>1102</v>
      </c>
      <c r="B49" s="111"/>
      <c r="C49" s="111"/>
      <c r="D49" s="111"/>
      <c r="E49" s="111"/>
      <c r="F49" s="111"/>
      <c r="G49" s="36"/>
      <c r="H49" s="37">
        <f>K287*24.48*165.1*1.5*1.07</f>
        <v>7776.900628596486</v>
      </c>
      <c r="I49" s="38"/>
      <c r="J49" s="38"/>
      <c r="K49" s="35"/>
    </row>
    <row r="50" spans="1:11" ht="12.75">
      <c r="A50" s="33" t="s">
        <v>114</v>
      </c>
      <c r="B50" s="33"/>
      <c r="C50" s="33"/>
      <c r="D50" s="33"/>
      <c r="E50" s="33"/>
      <c r="F50" s="33"/>
      <c r="G50" s="33"/>
      <c r="H50" s="34"/>
      <c r="I50" s="33"/>
      <c r="J50" s="33"/>
      <c r="K50" s="35"/>
    </row>
    <row r="51" spans="1:11" ht="12.75">
      <c r="A51" s="39">
        <f>H49</f>
        <v>7776.900628596486</v>
      </c>
      <c r="B51" s="36" t="s">
        <v>115</v>
      </c>
      <c r="C51" s="36"/>
      <c r="D51" s="36"/>
      <c r="E51" s="36"/>
      <c r="F51" s="36"/>
      <c r="G51" s="38"/>
      <c r="H51" s="37">
        <f>H49*14.2%</f>
        <v>1104.3198892607008</v>
      </c>
      <c r="I51" s="38"/>
      <c r="J51" s="38"/>
      <c r="K51" s="35"/>
    </row>
    <row r="52" spans="1:11" ht="12.75">
      <c r="A52" s="30" t="s">
        <v>86</v>
      </c>
      <c r="B52" s="30"/>
      <c r="C52" s="30"/>
      <c r="D52" s="30"/>
      <c r="E52" s="30"/>
      <c r="F52" s="40"/>
      <c r="G52" s="40"/>
      <c r="H52" s="37">
        <f>0.04*O20</f>
        <v>174.176</v>
      </c>
      <c r="I52" s="38"/>
      <c r="J52" s="38"/>
      <c r="K52" s="35"/>
    </row>
    <row r="53" spans="1:12" ht="12.75">
      <c r="A53" s="108" t="s">
        <v>116</v>
      </c>
      <c r="B53" s="108"/>
      <c r="C53" s="108"/>
      <c r="D53" s="108"/>
      <c r="E53" s="108"/>
      <c r="F53" s="108"/>
      <c r="G53" s="108"/>
      <c r="H53" s="37">
        <v>7500</v>
      </c>
      <c r="I53" s="38"/>
      <c r="J53" s="38"/>
      <c r="K53" s="35"/>
      <c r="L53" s="65">
        <f>0.97*O20</f>
        <v>4223.767999999999</v>
      </c>
    </row>
    <row r="54" spans="1:11" ht="12.75">
      <c r="A54" s="108" t="s">
        <v>1049</v>
      </c>
      <c r="B54" s="108"/>
      <c r="C54" s="108"/>
      <c r="D54" s="108"/>
      <c r="E54" s="108"/>
      <c r="F54" s="30"/>
      <c r="G54" s="30"/>
      <c r="H54" s="37">
        <f>0.0037*O20</f>
        <v>16.11128</v>
      </c>
      <c r="I54" s="38"/>
      <c r="J54" s="38"/>
      <c r="K54" s="35"/>
    </row>
    <row r="55" spans="1:12" ht="12.75">
      <c r="A55" s="108" t="s">
        <v>1050</v>
      </c>
      <c r="B55" s="108"/>
      <c r="C55" s="108"/>
      <c r="D55" s="108"/>
      <c r="E55" s="108"/>
      <c r="F55" s="108"/>
      <c r="G55" s="108"/>
      <c r="H55" s="37">
        <f>O20*0.082</f>
        <v>357.0608</v>
      </c>
      <c r="I55" s="38"/>
      <c r="J55" s="38"/>
      <c r="K55" s="35"/>
      <c r="L55" s="69"/>
    </row>
    <row r="56" spans="1:13" ht="12.75">
      <c r="A56" s="108" t="s">
        <v>1051</v>
      </c>
      <c r="B56" s="108"/>
      <c r="C56" s="108"/>
      <c r="D56" s="108"/>
      <c r="E56" s="108"/>
      <c r="F56" s="108"/>
      <c r="G56" s="108"/>
      <c r="H56" s="31">
        <f>O20*0.023*1.107</f>
        <v>110.86737839999999</v>
      </c>
      <c r="I56" s="33"/>
      <c r="J56" s="33"/>
      <c r="K56" s="35"/>
      <c r="M56" s="65" t="e">
        <f>36646.37/309083*#REF!</f>
        <v>#REF!</v>
      </c>
    </row>
    <row r="57" spans="1:11" ht="12.75">
      <c r="A57" s="41" t="s">
        <v>120</v>
      </c>
      <c r="B57" s="41"/>
      <c r="C57" s="41"/>
      <c r="D57" s="41"/>
      <c r="E57" s="40"/>
      <c r="F57" s="40"/>
      <c r="G57" s="40"/>
      <c r="H57" s="31">
        <v>350</v>
      </c>
      <c r="I57" s="40"/>
      <c r="J57" s="40"/>
      <c r="K57" s="35"/>
    </row>
    <row r="58" spans="1:11" ht="12.75">
      <c r="A58" s="41"/>
      <c r="B58" s="41"/>
      <c r="C58" s="41"/>
      <c r="D58" s="41"/>
      <c r="E58" s="40"/>
      <c r="F58" s="40"/>
      <c r="G58" s="40"/>
      <c r="H58" s="31"/>
      <c r="I58" s="40"/>
      <c r="J58" s="40"/>
      <c r="K58" s="35"/>
    </row>
    <row r="59" spans="1:13" ht="15.75">
      <c r="A59" s="110" t="s">
        <v>121</v>
      </c>
      <c r="B59" s="110"/>
      <c r="C59" s="110"/>
      <c r="D59" s="110"/>
      <c r="E59" s="42"/>
      <c r="F59" s="42"/>
      <c r="G59" s="20"/>
      <c r="H59" s="27"/>
      <c r="I59" s="20"/>
      <c r="J59" s="20"/>
      <c r="K59" s="21">
        <f>H62+H63+H64+H65</f>
        <v>3147.79576</v>
      </c>
      <c r="M59" s="72" t="e">
        <f>51932.37/301083*#REF!</f>
        <v>#REF!</v>
      </c>
    </row>
    <row r="60" spans="1:13" ht="15.75">
      <c r="A60" s="125"/>
      <c r="B60" s="125"/>
      <c r="C60" s="125"/>
      <c r="D60" s="125"/>
      <c r="E60" s="130"/>
      <c r="F60" s="130"/>
      <c r="G60" s="54"/>
      <c r="H60" s="131"/>
      <c r="I60" s="54"/>
      <c r="J60" s="54"/>
      <c r="K60" s="56"/>
      <c r="M60" s="72"/>
    </row>
    <row r="61" spans="1:11" ht="12.75">
      <c r="A61" s="111" t="s">
        <v>122</v>
      </c>
      <c r="B61" s="111"/>
      <c r="C61" s="111"/>
      <c r="D61" s="111"/>
      <c r="E61" s="111"/>
      <c r="F61" s="111"/>
      <c r="G61" s="36"/>
      <c r="H61" s="37"/>
      <c r="I61" s="36"/>
      <c r="J61" s="36"/>
      <c r="K61" s="35"/>
    </row>
    <row r="62" spans="1:11" ht="12.75">
      <c r="A62" s="36" t="s">
        <v>1103</v>
      </c>
      <c r="B62" s="36"/>
      <c r="C62" s="36"/>
      <c r="D62" s="36"/>
      <c r="E62" s="36"/>
      <c r="F62" s="36"/>
      <c r="G62" s="36"/>
      <c r="H62" s="37">
        <f>0.2227*O20</f>
        <v>969.72488</v>
      </c>
      <c r="I62" s="36"/>
      <c r="J62" s="36"/>
      <c r="K62" s="35"/>
    </row>
    <row r="63" spans="1:11" ht="12.75">
      <c r="A63" s="30" t="s">
        <v>1104</v>
      </c>
      <c r="B63" s="43"/>
      <c r="C63" s="30"/>
      <c r="D63" s="30"/>
      <c r="E63" s="44"/>
      <c r="F63" s="38"/>
      <c r="G63" s="38"/>
      <c r="H63" s="37">
        <f>0.0257*O20</f>
        <v>111.90808</v>
      </c>
      <c r="I63" s="38"/>
      <c r="J63" s="38"/>
      <c r="K63" s="35"/>
    </row>
    <row r="64" spans="1:11" ht="12.75">
      <c r="A64" s="111" t="s">
        <v>1105</v>
      </c>
      <c r="B64" s="111"/>
      <c r="C64" s="111"/>
      <c r="D64" s="111"/>
      <c r="E64" s="111"/>
      <c r="F64" s="38"/>
      <c r="G64" s="38"/>
      <c r="H64" s="37">
        <f>0.0945*O20</f>
        <v>411.4908</v>
      </c>
      <c r="I64" s="38"/>
      <c r="J64" s="38"/>
      <c r="K64" s="35"/>
    </row>
    <row r="65" spans="1:11" ht="12.75">
      <c r="A65" s="36" t="s">
        <v>1106</v>
      </c>
      <c r="B65" s="36"/>
      <c r="C65" s="36"/>
      <c r="D65" s="36"/>
      <c r="E65" s="36"/>
      <c r="F65" s="38"/>
      <c r="G65" s="38"/>
      <c r="H65" s="37">
        <f>0.38*O20</f>
        <v>1654.6719999999998</v>
      </c>
      <c r="I65" s="38"/>
      <c r="J65" s="38"/>
      <c r="K65" s="45"/>
    </row>
    <row r="66" spans="1:11" ht="12.75">
      <c r="A66" s="30"/>
      <c r="B66" s="30"/>
      <c r="C66" s="30"/>
      <c r="D66" s="30"/>
      <c r="E66" s="38"/>
      <c r="F66" s="38"/>
      <c r="G66" s="38"/>
      <c r="H66" s="37"/>
      <c r="I66" s="38"/>
      <c r="J66" s="38"/>
      <c r="K66" s="35"/>
    </row>
    <row r="67" spans="1:13" ht="15.75">
      <c r="A67" s="26" t="s">
        <v>127</v>
      </c>
      <c r="B67" s="26"/>
      <c r="C67" s="26"/>
      <c r="D67" s="26"/>
      <c r="E67" s="26"/>
      <c r="F67" s="26"/>
      <c r="G67" s="26"/>
      <c r="H67" s="46"/>
      <c r="I67" s="20"/>
      <c r="J67" s="20"/>
      <c r="K67" s="21">
        <f>O20*0.94</f>
        <v>4093.1359999999995</v>
      </c>
      <c r="M67" s="71" t="e">
        <f>231179.9/309083*#REF!</f>
        <v>#REF!</v>
      </c>
    </row>
    <row r="68" spans="1:11" ht="15.75">
      <c r="A68" s="47"/>
      <c r="B68" s="47"/>
      <c r="C68" s="112" t="s">
        <v>64</v>
      </c>
      <c r="D68" s="112"/>
      <c r="E68" s="47"/>
      <c r="F68" s="47"/>
      <c r="G68" s="47"/>
      <c r="H68" s="48"/>
      <c r="I68" s="47"/>
      <c r="J68" s="47"/>
      <c r="K68" s="49"/>
    </row>
    <row r="69" spans="1:11" ht="12.75">
      <c r="A69" s="30" t="s">
        <v>128</v>
      </c>
      <c r="B69" s="30"/>
      <c r="C69" s="30"/>
      <c r="D69" s="30"/>
      <c r="E69" s="30"/>
      <c r="F69" s="30"/>
      <c r="G69" s="30"/>
      <c r="H69" s="37"/>
      <c r="I69" s="38"/>
      <c r="J69" s="38"/>
      <c r="K69" s="35"/>
    </row>
    <row r="70" spans="1:11" ht="12.75">
      <c r="A70" s="30" t="s">
        <v>129</v>
      </c>
      <c r="B70" s="43"/>
      <c r="C70" s="30"/>
      <c r="D70" s="30"/>
      <c r="E70" s="30"/>
      <c r="F70" s="44"/>
      <c r="G70" s="44"/>
      <c r="H70" s="37"/>
      <c r="I70" s="38"/>
      <c r="J70" s="38"/>
      <c r="K70" s="35"/>
    </row>
    <row r="71" spans="1:11" ht="12.75">
      <c r="A71" s="108" t="s">
        <v>130</v>
      </c>
      <c r="B71" s="108"/>
      <c r="C71" s="108"/>
      <c r="D71" s="108"/>
      <c r="E71" s="108"/>
      <c r="F71" s="108"/>
      <c r="G71" s="44"/>
      <c r="H71" s="37"/>
      <c r="I71" s="38"/>
      <c r="J71" s="38"/>
      <c r="K71" s="35"/>
    </row>
    <row r="72" spans="1:11" ht="12.75">
      <c r="A72" s="108" t="s">
        <v>131</v>
      </c>
      <c r="B72" s="108"/>
      <c r="C72" s="108"/>
      <c r="D72" s="108"/>
      <c r="E72" s="108"/>
      <c r="F72" s="108"/>
      <c r="G72" s="108"/>
      <c r="H72" s="37"/>
      <c r="I72" s="38"/>
      <c r="J72" s="38"/>
      <c r="K72" s="35"/>
    </row>
    <row r="73" spans="1:11" ht="12.75">
      <c r="A73" s="108" t="s">
        <v>132</v>
      </c>
      <c r="B73" s="108"/>
      <c r="C73" s="108"/>
      <c r="D73" s="108"/>
      <c r="E73" s="109"/>
      <c r="F73" s="109"/>
      <c r="G73" s="109"/>
      <c r="H73" s="37"/>
      <c r="I73" s="38"/>
      <c r="J73" s="38"/>
      <c r="K73" s="35"/>
    </row>
    <row r="74" spans="1:11" ht="12.75">
      <c r="A74" s="108" t="s">
        <v>133</v>
      </c>
      <c r="B74" s="108"/>
      <c r="C74" s="108"/>
      <c r="D74" s="108"/>
      <c r="E74" s="108"/>
      <c r="F74" s="44"/>
      <c r="G74" s="44"/>
      <c r="H74" s="37"/>
      <c r="I74" s="38"/>
      <c r="J74" s="38"/>
      <c r="K74" s="35"/>
    </row>
    <row r="75" spans="1:11" ht="12.75">
      <c r="A75" s="44" t="s">
        <v>134</v>
      </c>
      <c r="B75" s="44"/>
      <c r="C75" s="44"/>
      <c r="D75" s="44"/>
      <c r="E75" s="44"/>
      <c r="F75" s="44"/>
      <c r="G75" s="44"/>
      <c r="H75" s="37"/>
      <c r="I75" s="38"/>
      <c r="J75" s="38"/>
      <c r="K75" s="35"/>
    </row>
    <row r="76" spans="1:11" ht="12.75">
      <c r="A76" s="22"/>
      <c r="B76" s="22"/>
      <c r="C76" s="22"/>
      <c r="D76" s="22"/>
      <c r="E76" s="22"/>
      <c r="F76" s="22"/>
      <c r="G76" s="22"/>
      <c r="H76" s="28"/>
      <c r="I76" s="22"/>
      <c r="J76" s="22"/>
      <c r="K76" s="29"/>
    </row>
    <row r="77" spans="1:13" ht="15.75">
      <c r="A77" s="20" t="s">
        <v>135</v>
      </c>
      <c r="B77" s="20"/>
      <c r="C77" s="20"/>
      <c r="D77" s="20"/>
      <c r="E77" s="20"/>
      <c r="F77" s="51"/>
      <c r="G77" s="51"/>
      <c r="H77" s="52"/>
      <c r="I77" s="51"/>
      <c r="J77" s="51"/>
      <c r="K77" s="21">
        <f>0.0205*O20</f>
        <v>89.2652</v>
      </c>
      <c r="L77" s="72" t="e">
        <f>K77/309084*#REF!</f>
        <v>#REF!</v>
      </c>
      <c r="M77" s="72" t="e">
        <f>L77/309084*#REF!</f>
        <v>#REF!</v>
      </c>
    </row>
    <row r="78" spans="1:13" ht="15.75">
      <c r="A78" s="53"/>
      <c r="B78" s="54"/>
      <c r="C78" s="54"/>
      <c r="D78" s="54"/>
      <c r="E78" s="54"/>
      <c r="F78" s="53"/>
      <c r="G78" s="53"/>
      <c r="H78" s="55"/>
      <c r="I78" s="53"/>
      <c r="J78" s="53"/>
      <c r="K78" s="56"/>
      <c r="L78" s="72"/>
      <c r="M78" s="72"/>
    </row>
    <row r="79" spans="1:11" ht="15.75">
      <c r="A79" s="57" t="s">
        <v>136</v>
      </c>
      <c r="B79" s="57"/>
      <c r="C79" s="57"/>
      <c r="D79" s="58"/>
      <c r="E79" s="58"/>
      <c r="F79" s="58"/>
      <c r="G79" s="58"/>
      <c r="H79" s="59"/>
      <c r="I79" s="58"/>
      <c r="J79" s="58"/>
      <c r="K79" s="60">
        <f>K15*6%</f>
        <v>2338.2831228306586</v>
      </c>
    </row>
    <row r="80" spans="1:11" ht="15">
      <c r="A80" s="58"/>
      <c r="B80" s="61"/>
      <c r="C80" s="61"/>
      <c r="D80" s="61"/>
      <c r="E80" s="61"/>
      <c r="F80" s="61"/>
      <c r="G80" s="61"/>
      <c r="H80" s="62"/>
      <c r="I80" s="58"/>
      <c r="J80" s="58"/>
      <c r="K80" s="58"/>
    </row>
    <row r="81" spans="1:11" ht="15.75">
      <c r="A81" s="63" t="s">
        <v>137</v>
      </c>
      <c r="B81" s="63"/>
      <c r="C81" s="63"/>
      <c r="D81" s="63"/>
      <c r="E81" s="63"/>
      <c r="F81" s="63"/>
      <c r="G81" s="63"/>
      <c r="H81" s="63"/>
      <c r="I81" s="63"/>
      <c r="J81" s="63"/>
      <c r="K81" s="64">
        <f>K79+K15</f>
        <v>41309.668503341636</v>
      </c>
    </row>
    <row r="82" spans="1:11" ht="15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4"/>
    </row>
    <row r="83" spans="1:11" ht="15.75">
      <c r="A83" s="63" t="s">
        <v>138</v>
      </c>
      <c r="B83" s="63"/>
      <c r="C83" s="63"/>
      <c r="D83" s="63"/>
      <c r="E83" s="63"/>
      <c r="F83" s="63"/>
      <c r="G83" s="63"/>
      <c r="H83" s="63"/>
      <c r="I83" s="63"/>
      <c r="J83" s="63"/>
      <c r="K83" s="64">
        <f>K81/O20</f>
        <v>9.486879593822717</v>
      </c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0" spans="7:11" ht="12.75">
      <c r="G90" s="123"/>
      <c r="H90" s="123"/>
      <c r="I90" s="123"/>
      <c r="J90" s="123"/>
      <c r="K90" s="123"/>
    </row>
    <row r="99" spans="3:9" s="65" customFormat="1" ht="15.75">
      <c r="C99" s="106" t="s">
        <v>139</v>
      </c>
      <c r="D99" s="107"/>
      <c r="E99" s="107"/>
      <c r="F99" s="107"/>
      <c r="G99" s="107"/>
      <c r="H99" s="107"/>
      <c r="I99" s="107"/>
    </row>
    <row r="100" spans="3:9" s="65" customFormat="1" ht="15.75">
      <c r="C100" s="74" t="s">
        <v>140</v>
      </c>
      <c r="D100" s="74" t="s">
        <v>141</v>
      </c>
      <c r="E100" s="74"/>
      <c r="F100" s="74"/>
      <c r="G100" s="75"/>
      <c r="H100" s="75"/>
      <c r="I100" s="75"/>
    </row>
    <row r="101" s="65" customFormat="1" ht="12.75"/>
    <row r="102" spans="5:8" s="65" customFormat="1" ht="12.75">
      <c r="E102" s="65" t="s">
        <v>142</v>
      </c>
      <c r="H102" s="65" t="e">
        <f>#REF!</f>
        <v>#REF!</v>
      </c>
    </row>
    <row r="103" spans="5:8" s="65" customFormat="1" ht="12.75">
      <c r="E103" s="65" t="s">
        <v>143</v>
      </c>
      <c r="H103" s="65" t="e">
        <f>#REF!</f>
        <v>#REF!</v>
      </c>
    </row>
    <row r="104" spans="5:8" s="65" customFormat="1" ht="12.75">
      <c r="E104" s="65" t="s">
        <v>144</v>
      </c>
      <c r="H104" s="65" t="e">
        <f>#REF!</f>
        <v>#REF!</v>
      </c>
    </row>
    <row r="105" spans="5:8" s="65" customFormat="1" ht="12.75">
      <c r="E105" s="65" t="s">
        <v>145</v>
      </c>
      <c r="H105" s="65">
        <f>O21</f>
        <v>242</v>
      </c>
    </row>
    <row r="106" spans="5:8" s="65" customFormat="1" ht="12.75">
      <c r="E106" s="65" t="s">
        <v>146</v>
      </c>
      <c r="H106" s="65" t="e">
        <f>#REF!</f>
        <v>#REF!</v>
      </c>
    </row>
    <row r="107" s="65" customFormat="1" ht="12.75"/>
    <row r="108" spans="1:11" s="65" customFormat="1" ht="15.75">
      <c r="A108" s="105" t="s">
        <v>72</v>
      </c>
      <c r="B108" s="105"/>
      <c r="C108" s="105"/>
      <c r="D108" s="105"/>
      <c r="E108" s="105"/>
      <c r="F108" s="105"/>
      <c r="G108" s="105"/>
      <c r="H108" s="76" t="e">
        <f>H110+H112+H114+H116+H118+H120+H122</f>
        <v>#REF!</v>
      </c>
      <c r="I108" s="77" t="s">
        <v>70</v>
      </c>
      <c r="K108" s="78" t="e">
        <f>H108-20000</f>
        <v>#REF!</v>
      </c>
    </row>
    <row r="109" spans="1:7" s="65" customFormat="1" ht="12.75">
      <c r="A109" s="79"/>
      <c r="B109" s="79"/>
      <c r="C109" s="79"/>
      <c r="D109" s="79"/>
      <c r="E109" s="79"/>
      <c r="F109" s="79"/>
      <c r="G109" s="79"/>
    </row>
    <row r="110" spans="1:8" s="65" customFormat="1" ht="15.75">
      <c r="A110" s="80" t="s">
        <v>147</v>
      </c>
      <c r="B110" s="80"/>
      <c r="C110" s="80"/>
      <c r="D110" s="80"/>
      <c r="E110" s="80"/>
      <c r="F110" s="80"/>
      <c r="G110" s="80"/>
      <c r="H110" s="78">
        <f>K17</f>
        <v>6519.415784253788</v>
      </c>
    </row>
    <row r="111" spans="1:8" s="65" customFormat="1" ht="12.75">
      <c r="A111" s="79"/>
      <c r="B111" s="79"/>
      <c r="C111" s="79"/>
      <c r="D111" s="79"/>
      <c r="E111" s="79"/>
      <c r="F111" s="79"/>
      <c r="G111" s="79"/>
      <c r="H111" s="78"/>
    </row>
    <row r="112" spans="1:8" s="65" customFormat="1" ht="15.75">
      <c r="A112" s="105" t="s">
        <v>95</v>
      </c>
      <c r="B112" s="105"/>
      <c r="C112" s="105"/>
      <c r="D112" s="105"/>
      <c r="E112" s="105"/>
      <c r="F112" s="80"/>
      <c r="G112" s="80"/>
      <c r="H112" s="78">
        <f>K30</f>
        <v>7732.33666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78"/>
    </row>
    <row r="114" spans="1:8" s="65" customFormat="1" ht="15.75">
      <c r="A114" s="105" t="s">
        <v>148</v>
      </c>
      <c r="B114" s="105"/>
      <c r="C114" s="105"/>
      <c r="D114" s="105"/>
      <c r="E114" s="105"/>
      <c r="F114" s="105"/>
      <c r="G114" s="105"/>
      <c r="H114" s="81" t="e">
        <f>#REF!</f>
        <v>#REF!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82"/>
    </row>
    <row r="116" spans="1:8" s="65" customFormat="1" ht="15.75">
      <c r="A116" s="80" t="s">
        <v>111</v>
      </c>
      <c r="B116" s="80"/>
      <c r="C116" s="80"/>
      <c r="D116" s="80"/>
      <c r="E116" s="80"/>
      <c r="F116" s="80"/>
      <c r="G116" s="80"/>
      <c r="H116" s="82" t="e">
        <f>M46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105" t="s">
        <v>149</v>
      </c>
      <c r="B118" s="105"/>
      <c r="C118" s="105"/>
      <c r="D118" s="105"/>
      <c r="E118" s="80"/>
      <c r="F118" s="80"/>
      <c r="G118" s="80"/>
      <c r="H118" s="81" t="e">
        <f>M59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83" t="s">
        <v>127</v>
      </c>
      <c r="B120" s="83"/>
      <c r="C120" s="83"/>
      <c r="D120" s="83"/>
      <c r="E120" s="83"/>
      <c r="F120" s="83"/>
      <c r="G120" s="83"/>
      <c r="H120" s="81" t="e">
        <f>M67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150</v>
      </c>
      <c r="B122" s="80"/>
      <c r="C122" s="80"/>
      <c r="D122" s="80"/>
      <c r="E122" s="80"/>
      <c r="F122" s="84"/>
      <c r="G122" s="84"/>
      <c r="H122" s="81" t="e">
        <f>L77</f>
        <v>#REF!</v>
      </c>
    </row>
    <row r="123" s="65" customFormat="1" ht="12.75"/>
    <row r="124" s="65" customFormat="1" ht="12.75"/>
    <row r="125" s="65" customFormat="1" ht="12.75">
      <c r="H125" s="65" t="s">
        <v>151</v>
      </c>
    </row>
    <row r="126" s="65" customFormat="1" ht="12.75">
      <c r="H126" s="65" t="s">
        <v>146</v>
      </c>
    </row>
    <row r="127" s="65" customFormat="1" ht="12.75">
      <c r="H127" s="65" t="s">
        <v>152</v>
      </c>
    </row>
    <row r="128" s="65" customFormat="1" ht="12.75"/>
    <row r="129" s="65" customFormat="1" ht="12.75"/>
    <row r="130" s="65" customFormat="1" ht="12.75">
      <c r="F130" s="65" t="s">
        <v>153</v>
      </c>
    </row>
    <row r="131" s="65" customFormat="1" ht="12.75">
      <c r="D131" s="65" t="s">
        <v>154</v>
      </c>
    </row>
    <row r="132" s="65" customFormat="1" ht="12.75">
      <c r="D132" s="65" t="s">
        <v>155</v>
      </c>
    </row>
    <row r="133" spans="6:13" s="65" customFormat="1" ht="12.75">
      <c r="F133" s="65" t="s">
        <v>156</v>
      </c>
      <c r="M133" s="65" t="s">
        <v>157</v>
      </c>
    </row>
    <row r="134" s="65" customFormat="1" ht="12.75">
      <c r="M134" s="65" t="s">
        <v>158</v>
      </c>
    </row>
    <row r="135" spans="1:13" s="65" customFormat="1" ht="12.75">
      <c r="A135" s="65" t="s">
        <v>159</v>
      </c>
      <c r="B135" s="65" t="s">
        <v>160</v>
      </c>
      <c r="D135" s="65" t="s">
        <v>161</v>
      </c>
      <c r="F135" s="65" t="s">
        <v>162</v>
      </c>
      <c r="G135" s="65" t="s">
        <v>163</v>
      </c>
      <c r="H135" s="65" t="s">
        <v>164</v>
      </c>
      <c r="J135" s="65" t="s">
        <v>165</v>
      </c>
      <c r="M135" s="73" t="s">
        <v>166</v>
      </c>
    </row>
    <row r="136" spans="1:14" s="65" customFormat="1" ht="12.75">
      <c r="A136" s="65" t="s">
        <v>167</v>
      </c>
      <c r="B136" s="65" t="s">
        <v>168</v>
      </c>
      <c r="D136" s="65" t="s">
        <v>169</v>
      </c>
      <c r="F136" s="65" t="s">
        <v>170</v>
      </c>
      <c r="G136" s="65" t="s">
        <v>171</v>
      </c>
      <c r="H136" s="65" t="s">
        <v>172</v>
      </c>
      <c r="J136" s="65" t="s">
        <v>173</v>
      </c>
      <c r="M136" s="65" t="s">
        <v>174</v>
      </c>
      <c r="N136" s="65">
        <v>4626.6</v>
      </c>
    </row>
    <row r="137" spans="8:9" s="65" customFormat="1" ht="12.75">
      <c r="H137" s="65" t="s">
        <v>175</v>
      </c>
      <c r="I137" s="65" t="s">
        <v>176</v>
      </c>
    </row>
    <row r="138" spans="8:13" s="65" customFormat="1" ht="12.75">
      <c r="H138" s="65" t="s">
        <v>170</v>
      </c>
      <c r="I138" s="65" t="s">
        <v>177</v>
      </c>
      <c r="M138" s="65" t="s">
        <v>178</v>
      </c>
    </row>
    <row r="139" spans="9:13" s="65" customFormat="1" ht="12.75">
      <c r="I139" s="65" t="s">
        <v>179</v>
      </c>
      <c r="M139" s="65" t="s">
        <v>158</v>
      </c>
    </row>
    <row r="140" s="65" customFormat="1" ht="12.75">
      <c r="M140" s="73" t="s">
        <v>166</v>
      </c>
    </row>
    <row r="141" spans="1:14" s="65" customFormat="1" ht="12.75">
      <c r="A141" s="65" t="s">
        <v>180</v>
      </c>
      <c r="B141" s="65" t="s">
        <v>181</v>
      </c>
      <c r="D141" s="65" t="s">
        <v>182</v>
      </c>
      <c r="M141" s="65" t="s">
        <v>174</v>
      </c>
      <c r="N141" s="65">
        <v>1116.4</v>
      </c>
    </row>
    <row r="142" spans="2:4" s="65" customFormat="1" ht="12.75">
      <c r="B142" s="65" t="s">
        <v>183</v>
      </c>
      <c r="D142" s="65" t="s">
        <v>184</v>
      </c>
    </row>
    <row r="143" spans="2:13" s="65" customFormat="1" ht="12.75">
      <c r="B143" s="65" t="s">
        <v>185</v>
      </c>
      <c r="D143" s="65" t="s">
        <v>186</v>
      </c>
      <c r="M143" s="65" t="s">
        <v>187</v>
      </c>
    </row>
    <row r="144" spans="2:13" s="65" customFormat="1" ht="12.75">
      <c r="B144" s="65" t="s">
        <v>188</v>
      </c>
      <c r="D144" s="65" t="s">
        <v>189</v>
      </c>
      <c r="M144" s="65" t="s">
        <v>158</v>
      </c>
    </row>
    <row r="145" spans="2:13" s="65" customFormat="1" ht="12.75">
      <c r="B145" s="65" t="s">
        <v>190</v>
      </c>
      <c r="M145" s="73" t="s">
        <v>166</v>
      </c>
    </row>
    <row r="146" spans="4:14" s="65" customFormat="1" ht="12.75">
      <c r="D146" s="65" t="s">
        <v>191</v>
      </c>
      <c r="M146" s="65" t="s">
        <v>174</v>
      </c>
      <c r="N146" s="65">
        <v>893.1</v>
      </c>
    </row>
    <row r="147" spans="4:6" s="65" customFormat="1" ht="12.75">
      <c r="D147" s="65" t="s">
        <v>192</v>
      </c>
      <c r="F147" s="65" t="s">
        <v>193</v>
      </c>
    </row>
    <row r="148" spans="4:13" s="65" customFormat="1" ht="12.75">
      <c r="D148" s="65" t="s">
        <v>158</v>
      </c>
      <c r="F148" s="65" t="s">
        <v>194</v>
      </c>
      <c r="H148" s="65">
        <v>0.0687</v>
      </c>
      <c r="I148" s="65">
        <v>0</v>
      </c>
      <c r="K148" s="65">
        <f>N139/1000*H148</f>
        <v>0</v>
      </c>
      <c r="M148" s="65" t="s">
        <v>195</v>
      </c>
    </row>
    <row r="149" spans="4:13" s="65" customFormat="1" ht="12.75">
      <c r="D149" s="65" t="s">
        <v>196</v>
      </c>
      <c r="F149" s="65" t="s">
        <v>197</v>
      </c>
      <c r="H149" s="65">
        <v>0.0763</v>
      </c>
      <c r="I149" s="65">
        <v>0</v>
      </c>
      <c r="K149" s="65">
        <f>N140/1000*H149</f>
        <v>0</v>
      </c>
      <c r="M149" s="65" t="s">
        <v>158</v>
      </c>
    </row>
    <row r="150" spans="4:13" s="65" customFormat="1" ht="12.75">
      <c r="D150" s="65" t="s">
        <v>198</v>
      </c>
      <c r="F150" s="65" t="s">
        <v>199</v>
      </c>
      <c r="H150" s="65">
        <v>0.0839</v>
      </c>
      <c r="I150" s="65">
        <v>0</v>
      </c>
      <c r="K150" s="69">
        <f>N141/1000*H150</f>
        <v>0.09366596</v>
      </c>
      <c r="M150" s="73" t="s">
        <v>166</v>
      </c>
    </row>
    <row r="151" spans="6:13" s="65" customFormat="1" ht="12.75">
      <c r="F151" s="65" t="s">
        <v>200</v>
      </c>
      <c r="M151" s="65" t="s">
        <v>174</v>
      </c>
    </row>
    <row r="152" s="65" customFormat="1" ht="12.75">
      <c r="F152" s="65" t="s">
        <v>190</v>
      </c>
    </row>
    <row r="153" spans="5:9" s="65" customFormat="1" ht="12.75">
      <c r="E153" s="65" t="s">
        <v>201</v>
      </c>
      <c r="I153" s="65">
        <v>0</v>
      </c>
    </row>
    <row r="154" spans="2:4" s="65" customFormat="1" ht="12.75">
      <c r="B154" s="65" t="s">
        <v>202</v>
      </c>
      <c r="D154" s="65" t="s">
        <v>203</v>
      </c>
    </row>
    <row r="155" s="65" customFormat="1" ht="12.75">
      <c r="D155" s="65" t="s">
        <v>204</v>
      </c>
    </row>
    <row r="156" s="65" customFormat="1" ht="12.75">
      <c r="D156" s="65" t="s">
        <v>205</v>
      </c>
    </row>
    <row r="157" s="65" customFormat="1" ht="12.75">
      <c r="D157" s="65" t="s">
        <v>191</v>
      </c>
    </row>
    <row r="158" spans="4:11" s="65" customFormat="1" ht="12.75">
      <c r="D158" s="65" t="s">
        <v>158</v>
      </c>
      <c r="H158" s="65">
        <v>0.00338</v>
      </c>
      <c r="K158" s="69">
        <f>N162/1000*H158</f>
        <v>0</v>
      </c>
    </row>
    <row r="159" spans="4:11" s="65" customFormat="1" ht="12.75">
      <c r="D159" s="65" t="s">
        <v>196</v>
      </c>
      <c r="H159" s="65">
        <v>0.00376</v>
      </c>
      <c r="K159" s="69">
        <f>N163/1000*H159</f>
        <v>0</v>
      </c>
    </row>
    <row r="160" spans="4:11" s="65" customFormat="1" ht="12.75">
      <c r="D160" s="65" t="s">
        <v>198</v>
      </c>
      <c r="H160" s="65">
        <v>0.00414</v>
      </c>
      <c r="K160" s="69">
        <f>N164/1000*H160</f>
        <v>0.019154124</v>
      </c>
    </row>
    <row r="161" s="65" customFormat="1" ht="12.75">
      <c r="M161" s="65" t="s">
        <v>206</v>
      </c>
    </row>
    <row r="162" spans="1:13" s="65" customFormat="1" ht="12.75">
      <c r="A162" s="65" t="s">
        <v>207</v>
      </c>
      <c r="B162" s="65" t="s">
        <v>208</v>
      </c>
      <c r="D162" s="65" t="s">
        <v>203</v>
      </c>
      <c r="M162" s="65" t="s">
        <v>158</v>
      </c>
    </row>
    <row r="163" spans="4:13" s="65" customFormat="1" ht="12.75">
      <c r="D163" s="65" t="s">
        <v>209</v>
      </c>
      <c r="M163" s="73" t="s">
        <v>166</v>
      </c>
    </row>
    <row r="164" spans="4:14" s="65" customFormat="1" ht="12.75">
      <c r="D164" s="65" t="s">
        <v>191</v>
      </c>
      <c r="M164" s="65" t="s">
        <v>174</v>
      </c>
      <c r="N164" s="65">
        <f>N136</f>
        <v>4626.6</v>
      </c>
    </row>
    <row r="165" spans="4:11" s="65" customFormat="1" ht="12.75">
      <c r="D165" s="65" t="s">
        <v>158</v>
      </c>
      <c r="H165" s="65">
        <v>0.02043</v>
      </c>
      <c r="I165" s="65">
        <v>0</v>
      </c>
      <c r="K165" s="65">
        <f>N149/1000*H165</f>
        <v>0</v>
      </c>
    </row>
    <row r="166" spans="4:13" s="65" customFormat="1" ht="12.75">
      <c r="D166" s="65" t="s">
        <v>196</v>
      </c>
      <c r="H166" s="65">
        <v>0.0227</v>
      </c>
      <c r="I166" s="65">
        <v>0</v>
      </c>
      <c r="K166" s="65">
        <f>N150/1000*H166</f>
        <v>0</v>
      </c>
      <c r="M166" s="65" t="s">
        <v>210</v>
      </c>
    </row>
    <row r="167" spans="4:13" s="65" customFormat="1" ht="12.75">
      <c r="D167" s="65" t="s">
        <v>198</v>
      </c>
      <c r="H167" s="65">
        <v>0.02497</v>
      </c>
      <c r="I167" s="65">
        <v>0</v>
      </c>
      <c r="K167" s="65">
        <f>N151/1000*H167</f>
        <v>0</v>
      </c>
      <c r="M167" s="65" t="s">
        <v>158</v>
      </c>
    </row>
    <row r="168" spans="4:13" s="65" customFormat="1" ht="12.75">
      <c r="D168" s="65" t="s">
        <v>211</v>
      </c>
      <c r="M168" s="73" t="s">
        <v>166</v>
      </c>
    </row>
    <row r="169" spans="4:14" s="65" customFormat="1" ht="12.75">
      <c r="D169" s="65" t="s">
        <v>191</v>
      </c>
      <c r="M169" s="65" t="s">
        <v>174</v>
      </c>
      <c r="N169" s="65">
        <v>90</v>
      </c>
    </row>
    <row r="170" spans="4:6" s="65" customFormat="1" ht="12.75">
      <c r="D170" s="65" t="s">
        <v>192</v>
      </c>
      <c r="F170" s="65" t="s">
        <v>193</v>
      </c>
    </row>
    <row r="171" spans="4:11" s="65" customFormat="1" ht="12.75">
      <c r="D171" s="65" t="s">
        <v>158</v>
      </c>
      <c r="H171" s="65">
        <v>0.00999</v>
      </c>
      <c r="K171" s="69">
        <f>N134/1000*H171</f>
        <v>0</v>
      </c>
    </row>
    <row r="172" spans="4:11" s="65" customFormat="1" ht="12.75">
      <c r="D172" s="65" t="s">
        <v>196</v>
      </c>
      <c r="H172" s="65">
        <v>0.0111</v>
      </c>
      <c r="K172" s="69">
        <f>N135/1000*H172</f>
        <v>0</v>
      </c>
    </row>
    <row r="173" spans="4:11" s="65" customFormat="1" ht="12.75">
      <c r="D173" s="65" t="s">
        <v>198</v>
      </c>
      <c r="H173" s="65">
        <v>0.01221</v>
      </c>
      <c r="I173" s="65">
        <v>0</v>
      </c>
      <c r="K173" s="69">
        <f>N136/1000*H173</f>
        <v>0.05649078600000001</v>
      </c>
    </row>
    <row r="174" s="65" customFormat="1" ht="12.75">
      <c r="I174" s="65">
        <v>0</v>
      </c>
    </row>
    <row r="175" spans="5:9" s="65" customFormat="1" ht="12.75">
      <c r="E175" s="65" t="s">
        <v>201</v>
      </c>
      <c r="G175" s="65">
        <v>0</v>
      </c>
      <c r="I175" s="65">
        <v>0</v>
      </c>
    </row>
    <row r="176" spans="1:6" s="65" customFormat="1" ht="12.75">
      <c r="A176" s="65" t="s">
        <v>212</v>
      </c>
      <c r="B176" s="65" t="s">
        <v>213</v>
      </c>
      <c r="D176" s="65" t="s">
        <v>203</v>
      </c>
      <c r="F176" s="65" t="s">
        <v>193</v>
      </c>
    </row>
    <row r="177" spans="2:6" s="65" customFormat="1" ht="12.75">
      <c r="B177" s="65" t="s">
        <v>214</v>
      </c>
      <c r="D177" s="65" t="s">
        <v>209</v>
      </c>
      <c r="F177" s="65" t="s">
        <v>215</v>
      </c>
    </row>
    <row r="178" spans="4:6" s="65" customFormat="1" ht="12.75">
      <c r="D178" s="65" t="s">
        <v>191</v>
      </c>
      <c r="F178" s="65" t="s">
        <v>216</v>
      </c>
    </row>
    <row r="179" spans="4:11" s="65" customFormat="1" ht="12.75">
      <c r="D179" s="65" t="s">
        <v>158</v>
      </c>
      <c r="H179" s="65">
        <v>0.018432</v>
      </c>
      <c r="I179" s="65">
        <v>0</v>
      </c>
      <c r="K179" s="65">
        <f>N149/1000*H179</f>
        <v>0</v>
      </c>
    </row>
    <row r="180" spans="4:11" s="65" customFormat="1" ht="12.75">
      <c r="D180" s="65" t="s">
        <v>196</v>
      </c>
      <c r="H180" s="65">
        <v>0.02048</v>
      </c>
      <c r="I180" s="65">
        <v>0</v>
      </c>
      <c r="K180" s="65">
        <f>N150/1000*H180</f>
        <v>0</v>
      </c>
    </row>
    <row r="181" spans="4:11" s="65" customFormat="1" ht="12.75">
      <c r="D181" s="65" t="s">
        <v>198</v>
      </c>
      <c r="K181" s="65">
        <f>N151/1000*H181</f>
        <v>0</v>
      </c>
    </row>
    <row r="182" s="65" customFormat="1" ht="12.75">
      <c r="D182" s="65" t="s">
        <v>211</v>
      </c>
    </row>
    <row r="183" s="65" customFormat="1" ht="12.75">
      <c r="D183" s="65" t="s">
        <v>191</v>
      </c>
    </row>
    <row r="184" s="65" customFormat="1" ht="12.75">
      <c r="D184" s="65" t="s">
        <v>192</v>
      </c>
    </row>
    <row r="185" spans="4:11" s="65" customFormat="1" ht="12.75">
      <c r="D185" s="65" t="s">
        <v>158</v>
      </c>
      <c r="K185" s="69">
        <f>N134/1000*H185</f>
        <v>0</v>
      </c>
    </row>
    <row r="186" spans="4:11" s="65" customFormat="1" ht="12.75">
      <c r="D186" s="65" t="s">
        <v>196</v>
      </c>
      <c r="H186" s="65">
        <v>0.02295</v>
      </c>
      <c r="I186" s="65">
        <v>0</v>
      </c>
      <c r="K186" s="69">
        <f>N135/1000*H186</f>
        <v>0</v>
      </c>
    </row>
    <row r="187" spans="4:11" s="65" customFormat="1" ht="12.75">
      <c r="D187" s="65" t="s">
        <v>198</v>
      </c>
      <c r="H187" s="65">
        <v>0.025245</v>
      </c>
      <c r="I187" s="65">
        <v>0</v>
      </c>
      <c r="K187" s="69">
        <f>N136/1000*H187</f>
        <v>0.11679851700000002</v>
      </c>
    </row>
    <row r="188" spans="5:11" s="65" customFormat="1" ht="12.75">
      <c r="E188" s="65" t="s">
        <v>201</v>
      </c>
      <c r="G188" s="65">
        <v>0</v>
      </c>
      <c r="I188" s="65">
        <v>0</v>
      </c>
      <c r="K188" s="69"/>
    </row>
    <row r="189" s="65" customFormat="1" ht="12.75">
      <c r="K189" s="69"/>
    </row>
    <row r="190" spans="1:11" s="65" customFormat="1" ht="12.75">
      <c r="A190" s="65" t="s">
        <v>217</v>
      </c>
      <c r="B190" s="65" t="s">
        <v>218</v>
      </c>
      <c r="D190" s="65" t="s">
        <v>203</v>
      </c>
      <c r="K190" s="69"/>
    </row>
    <row r="191" spans="4:11" s="65" customFormat="1" ht="12.75">
      <c r="D191" s="65" t="s">
        <v>209</v>
      </c>
      <c r="K191" s="69"/>
    </row>
    <row r="192" spans="4:11" s="65" customFormat="1" ht="12.75">
      <c r="D192" s="65" t="s">
        <v>191</v>
      </c>
      <c r="K192" s="69"/>
    </row>
    <row r="193" spans="4:11" s="65" customFormat="1" ht="12.75">
      <c r="D193" s="65" t="s">
        <v>158</v>
      </c>
      <c r="H193" s="65">
        <v>0.027585</v>
      </c>
      <c r="I193" s="65">
        <v>0</v>
      </c>
      <c r="K193" s="69">
        <f>N149/1000*H193</f>
        <v>0</v>
      </c>
    </row>
    <row r="194" spans="4:11" s="65" customFormat="1" ht="12.75">
      <c r="D194" s="65" t="s">
        <v>196</v>
      </c>
      <c r="H194" s="65">
        <v>0.3065</v>
      </c>
      <c r="I194" s="65">
        <v>0</v>
      </c>
      <c r="K194" s="69">
        <f>N150/1000*H194</f>
        <v>0</v>
      </c>
    </row>
    <row r="195" spans="4:11" s="65" customFormat="1" ht="12.75">
      <c r="D195" s="65" t="s">
        <v>198</v>
      </c>
      <c r="K195" s="69">
        <f>N151/1000*H195</f>
        <v>0</v>
      </c>
    </row>
    <row r="196" spans="4:11" s="65" customFormat="1" ht="12.75">
      <c r="D196" s="65" t="s">
        <v>211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192</v>
      </c>
      <c r="K198" s="69"/>
    </row>
    <row r="199" spans="4:11" s="65" customFormat="1" ht="12.75">
      <c r="D199" s="65" t="s">
        <v>158</v>
      </c>
      <c r="K199" s="69">
        <f>N134/1000*H199</f>
        <v>0</v>
      </c>
    </row>
    <row r="200" spans="4:11" s="65" customFormat="1" ht="12.75">
      <c r="D200" s="65" t="s">
        <v>196</v>
      </c>
      <c r="H200" s="65">
        <v>0.00539</v>
      </c>
      <c r="I200" s="65">
        <v>0</v>
      </c>
      <c r="K200" s="69">
        <f>N135/1000*H200</f>
        <v>0</v>
      </c>
    </row>
    <row r="201" spans="4:11" s="65" customFormat="1" ht="12.75">
      <c r="D201" s="65" t="s">
        <v>198</v>
      </c>
      <c r="H201" s="65">
        <v>0.005929</v>
      </c>
      <c r="I201" s="65">
        <v>0</v>
      </c>
      <c r="K201" s="69">
        <f>N136/1000*H201</f>
        <v>0.027431111400000006</v>
      </c>
    </row>
    <row r="202" spans="5:11" s="65" customFormat="1" ht="12.75">
      <c r="E202" s="65" t="s">
        <v>201</v>
      </c>
      <c r="G202" s="65">
        <v>0</v>
      </c>
      <c r="I202" s="65">
        <v>0</v>
      </c>
      <c r="K202" s="69"/>
    </row>
    <row r="203" s="65" customFormat="1" ht="12.75">
      <c r="K203" s="69"/>
    </row>
    <row r="204" spans="1:11" s="65" customFormat="1" ht="12.75">
      <c r="A204" s="65" t="s">
        <v>219</v>
      </c>
      <c r="B204" s="65" t="s">
        <v>220</v>
      </c>
      <c r="D204" s="65" t="s">
        <v>203</v>
      </c>
      <c r="K204" s="69"/>
    </row>
    <row r="205" spans="2:11" s="65" customFormat="1" ht="12.75">
      <c r="B205" s="65" t="s">
        <v>214</v>
      </c>
      <c r="D205" s="65" t="s">
        <v>209</v>
      </c>
      <c r="K205" s="69"/>
    </row>
    <row r="206" spans="4:11" s="65" customFormat="1" ht="12.75">
      <c r="D206" s="65" t="s">
        <v>191</v>
      </c>
      <c r="K206" s="69"/>
    </row>
    <row r="207" spans="4:11" s="65" customFormat="1" ht="12.75">
      <c r="D207" s="65" t="s">
        <v>158</v>
      </c>
      <c r="H207" s="65">
        <v>0.022437</v>
      </c>
      <c r="I207" s="65">
        <v>0</v>
      </c>
      <c r="K207" s="69">
        <f>N149/1000*H207</f>
        <v>0</v>
      </c>
    </row>
    <row r="208" spans="4:11" s="65" customFormat="1" ht="12.75">
      <c r="D208" s="65" t="s">
        <v>196</v>
      </c>
      <c r="H208" s="65">
        <v>0.02493</v>
      </c>
      <c r="I208" s="65">
        <v>0</v>
      </c>
      <c r="K208" s="69">
        <f>N150/1000*H208</f>
        <v>0</v>
      </c>
    </row>
    <row r="209" spans="4:11" s="65" customFormat="1" ht="12.75">
      <c r="D209" s="65" t="s">
        <v>198</v>
      </c>
      <c r="K209" s="65">
        <f>N151/1000*H209</f>
        <v>0</v>
      </c>
    </row>
    <row r="210" s="65" customFormat="1" ht="12.75">
      <c r="D210" s="65" t="s">
        <v>211</v>
      </c>
    </row>
    <row r="211" s="65" customFormat="1" ht="12.75">
      <c r="D211" s="65" t="s">
        <v>191</v>
      </c>
    </row>
    <row r="212" s="65" customFormat="1" ht="12.75">
      <c r="D212" s="65" t="s">
        <v>192</v>
      </c>
    </row>
    <row r="213" spans="4:11" s="65" customFormat="1" ht="12.75">
      <c r="D213" s="65" t="s">
        <v>158</v>
      </c>
      <c r="K213" s="69">
        <f>N134/1000*H213</f>
        <v>0</v>
      </c>
    </row>
    <row r="214" spans="4:11" s="65" customFormat="1" ht="12.75">
      <c r="D214" s="65" t="s">
        <v>196</v>
      </c>
      <c r="H214" s="65">
        <v>0.00888</v>
      </c>
      <c r="I214" s="65">
        <v>0</v>
      </c>
      <c r="K214" s="69">
        <f>N135/1000*H214</f>
        <v>0</v>
      </c>
    </row>
    <row r="215" spans="4:11" s="65" customFormat="1" ht="12.75">
      <c r="D215" s="65" t="s">
        <v>198</v>
      </c>
      <c r="H215" s="65">
        <v>0.009768</v>
      </c>
      <c r="I215" s="65">
        <v>0</v>
      </c>
      <c r="K215" s="69">
        <f>N136/1000*H215</f>
        <v>0.04519262880000001</v>
      </c>
    </row>
    <row r="216" spans="5:11" s="65" customFormat="1" ht="12.75">
      <c r="E216" s="65" t="s">
        <v>201</v>
      </c>
      <c r="G216" s="65">
        <v>0</v>
      </c>
      <c r="I216" s="65">
        <v>0</v>
      </c>
      <c r="K216" s="69"/>
    </row>
    <row r="217" s="65" customFormat="1" ht="12.75">
      <c r="K217" s="69"/>
    </row>
    <row r="218" spans="2:4" s="65" customFormat="1" ht="12.75">
      <c r="B218" s="65" t="s">
        <v>221</v>
      </c>
      <c r="D218" s="65" t="s">
        <v>203</v>
      </c>
    </row>
    <row r="219" s="65" customFormat="1" ht="12.75">
      <c r="D219" s="65" t="s">
        <v>204</v>
      </c>
    </row>
    <row r="220" s="65" customFormat="1" ht="12.75">
      <c r="D220" s="65" t="s">
        <v>205</v>
      </c>
    </row>
    <row r="221" s="65" customFormat="1" ht="12.75">
      <c r="D221" s="65" t="s">
        <v>191</v>
      </c>
    </row>
    <row r="222" spans="4:11" s="65" customFormat="1" ht="12.75">
      <c r="D222" s="65" t="s">
        <v>158</v>
      </c>
      <c r="H222" s="65">
        <v>0.0243</v>
      </c>
      <c r="K222" s="69">
        <f>N162/1000*H222</f>
        <v>0</v>
      </c>
    </row>
    <row r="223" spans="4:11" s="65" customFormat="1" ht="12.75">
      <c r="D223" s="65" t="s">
        <v>196</v>
      </c>
      <c r="H223" s="65">
        <v>0.027</v>
      </c>
      <c r="K223" s="69">
        <f>N163/1000*H223</f>
        <v>0</v>
      </c>
    </row>
    <row r="224" spans="4:11" s="65" customFormat="1" ht="12.75">
      <c r="D224" s="65" t="s">
        <v>198</v>
      </c>
      <c r="H224" s="65">
        <v>0.0297</v>
      </c>
      <c r="K224" s="69">
        <f>N164/1000*H224</f>
        <v>0.13741002000000002</v>
      </c>
    </row>
    <row r="225" spans="1:11" s="65" customFormat="1" ht="12.75">
      <c r="A225" s="65" t="s">
        <v>222</v>
      </c>
      <c r="B225" s="65" t="s">
        <v>223</v>
      </c>
      <c r="D225" s="65" t="s">
        <v>203</v>
      </c>
      <c r="K225" s="69"/>
    </row>
    <row r="226" spans="4:11" s="65" customFormat="1" ht="12.75">
      <c r="D226" s="65" t="s">
        <v>209</v>
      </c>
      <c r="K226" s="69"/>
    </row>
    <row r="227" spans="4:11" s="65" customFormat="1" ht="12.75">
      <c r="D227" s="65" t="s">
        <v>191</v>
      </c>
      <c r="K227" s="69"/>
    </row>
    <row r="228" spans="4:11" s="65" customFormat="1" ht="12.75">
      <c r="D228" s="65" t="s">
        <v>158</v>
      </c>
      <c r="H228" s="65">
        <v>0.01773</v>
      </c>
      <c r="I228" s="65">
        <v>0</v>
      </c>
      <c r="K228" s="69">
        <f>N149/1000*H228</f>
        <v>0</v>
      </c>
    </row>
    <row r="229" spans="4:11" s="65" customFormat="1" ht="12.75">
      <c r="D229" s="65" t="s">
        <v>196</v>
      </c>
      <c r="H229" s="65">
        <v>0.0197</v>
      </c>
      <c r="I229" s="65">
        <v>0</v>
      </c>
      <c r="K229" s="69">
        <f>N150/1000*H229</f>
        <v>0</v>
      </c>
    </row>
    <row r="230" spans="4:11" s="65" customFormat="1" ht="12.75">
      <c r="D230" s="65" t="s">
        <v>198</v>
      </c>
      <c r="K230" s="69">
        <f>N151/1000*H230</f>
        <v>0</v>
      </c>
    </row>
    <row r="231" spans="4:11" s="65" customFormat="1" ht="12.75">
      <c r="D231" s="65" t="s">
        <v>211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192</v>
      </c>
      <c r="K233" s="69"/>
    </row>
    <row r="234" spans="4:11" s="65" customFormat="1" ht="12.75">
      <c r="D234" s="65" t="s">
        <v>158</v>
      </c>
      <c r="K234" s="69">
        <f>N134/1000*H234</f>
        <v>0</v>
      </c>
    </row>
    <row r="235" spans="4:11" s="65" customFormat="1" ht="12.75">
      <c r="D235" s="65" t="s">
        <v>196</v>
      </c>
      <c r="H235" s="65">
        <v>0.0018</v>
      </c>
      <c r="I235" s="65">
        <v>0</v>
      </c>
      <c r="K235" s="69">
        <f>N135/1000*H235</f>
        <v>0</v>
      </c>
    </row>
    <row r="236" spans="4:11" s="65" customFormat="1" ht="12.75">
      <c r="D236" s="65" t="s">
        <v>198</v>
      </c>
      <c r="H236" s="65">
        <v>0.00198</v>
      </c>
      <c r="I236" s="65">
        <v>0</v>
      </c>
      <c r="K236" s="69">
        <f>N136/1000*H236</f>
        <v>0.009160668000000002</v>
      </c>
    </row>
    <row r="237" spans="5:11" s="65" customFormat="1" ht="12.75">
      <c r="E237" s="65" t="s">
        <v>201</v>
      </c>
      <c r="G237" s="65">
        <v>0</v>
      </c>
      <c r="I237" s="65">
        <v>0</v>
      </c>
      <c r="K237" s="69"/>
    </row>
    <row r="238" s="65" customFormat="1" ht="12.75">
      <c r="K238" s="69"/>
    </row>
    <row r="239" spans="2:7" s="65" customFormat="1" ht="12.75">
      <c r="B239" s="65" t="s">
        <v>224</v>
      </c>
      <c r="D239" s="65" t="s">
        <v>203</v>
      </c>
      <c r="G239" s="65" t="s">
        <v>225</v>
      </c>
    </row>
    <row r="240" spans="4:7" s="65" customFormat="1" ht="12.75">
      <c r="D240" s="65" t="s">
        <v>204</v>
      </c>
      <c r="G240" s="65" t="s">
        <v>226</v>
      </c>
    </row>
    <row r="241" spans="4:7" s="65" customFormat="1" ht="12.75">
      <c r="D241" s="65" t="s">
        <v>205</v>
      </c>
      <c r="G241" s="65" t="s">
        <v>227</v>
      </c>
    </row>
    <row r="242" s="65" customFormat="1" ht="12.75">
      <c r="D242" s="65" t="s">
        <v>191</v>
      </c>
    </row>
    <row r="243" spans="4:11" s="65" customFormat="1" ht="12.75">
      <c r="D243" s="65" t="s">
        <v>158</v>
      </c>
      <c r="H243" s="65">
        <v>0.02367</v>
      </c>
      <c r="K243" s="69">
        <f>N144/1000*H243</f>
        <v>0</v>
      </c>
    </row>
    <row r="244" spans="4:11" s="65" customFormat="1" ht="12.75">
      <c r="D244" s="65" t="s">
        <v>196</v>
      </c>
      <c r="H244" s="65">
        <v>0.0263</v>
      </c>
      <c r="K244" s="69">
        <f>N145/1000*H244</f>
        <v>0</v>
      </c>
    </row>
    <row r="245" spans="4:11" s="65" customFormat="1" ht="12.75">
      <c r="D245" s="65" t="s">
        <v>198</v>
      </c>
      <c r="H245" s="65">
        <v>0.02893</v>
      </c>
      <c r="K245" s="69">
        <f>N146/1000*H245</f>
        <v>0.025837383000000002</v>
      </c>
    </row>
    <row r="246" s="65" customFormat="1" ht="12.75">
      <c r="K246" s="69"/>
    </row>
    <row r="247" spans="1:11" s="65" customFormat="1" ht="12.75">
      <c r="A247" s="65" t="s">
        <v>228</v>
      </c>
      <c r="B247" s="65" t="s">
        <v>229</v>
      </c>
      <c r="D247" s="65" t="s">
        <v>203</v>
      </c>
      <c r="K247" s="69"/>
    </row>
    <row r="248" spans="2:11" s="65" customFormat="1" ht="12.75">
      <c r="B248" s="65" t="s">
        <v>230</v>
      </c>
      <c r="D248" s="65" t="s">
        <v>209</v>
      </c>
      <c r="K248" s="69"/>
    </row>
    <row r="249" spans="4:11" s="65" customFormat="1" ht="12.75">
      <c r="D249" s="65" t="s">
        <v>191</v>
      </c>
      <c r="K249" s="69"/>
    </row>
    <row r="250" spans="4:11" s="65" customFormat="1" ht="12.75">
      <c r="D250" s="65" t="s">
        <v>158</v>
      </c>
      <c r="H250" s="65">
        <v>0.014679</v>
      </c>
      <c r="I250" s="65">
        <v>0</v>
      </c>
      <c r="K250" s="69">
        <f>N149/1000*H250</f>
        <v>0</v>
      </c>
    </row>
    <row r="251" spans="4:11" s="65" customFormat="1" ht="12.75">
      <c r="D251" s="65" t="s">
        <v>196</v>
      </c>
      <c r="H251" s="65">
        <v>0.01631</v>
      </c>
      <c r="I251" s="65">
        <v>0</v>
      </c>
      <c r="K251" s="69">
        <f>N150/1000*H251</f>
        <v>0</v>
      </c>
    </row>
    <row r="252" spans="4:11" s="65" customFormat="1" ht="12.75">
      <c r="D252" s="65" t="s">
        <v>198</v>
      </c>
      <c r="K252" s="69">
        <f>N151/1000*H252</f>
        <v>0</v>
      </c>
    </row>
    <row r="253" spans="4:11" s="65" customFormat="1" ht="12.75">
      <c r="D253" s="65" t="s">
        <v>211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192</v>
      </c>
      <c r="K255" s="69"/>
    </row>
    <row r="256" spans="4:11" s="65" customFormat="1" ht="12.75">
      <c r="D256" s="65" t="s">
        <v>158</v>
      </c>
      <c r="K256" s="69">
        <f>N134/1000*H256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N135/1000*H257</f>
        <v>0</v>
      </c>
    </row>
    <row r="258" spans="4:11" s="65" customFormat="1" ht="12.75">
      <c r="D258" s="65" t="s">
        <v>198</v>
      </c>
      <c r="H258" s="65">
        <v>0.017941</v>
      </c>
      <c r="I258" s="65">
        <v>0</v>
      </c>
      <c r="K258" s="69">
        <f>N136/1000*H258</f>
        <v>0.08300583060000001</v>
      </c>
    </row>
    <row r="259" spans="5:11" s="65" customFormat="1" ht="12.75">
      <c r="E259" s="65" t="s">
        <v>201</v>
      </c>
      <c r="G259" s="65">
        <v>0</v>
      </c>
      <c r="I259" s="65">
        <v>0</v>
      </c>
      <c r="K259" s="69"/>
    </row>
    <row r="260" s="65" customFormat="1" ht="12.75">
      <c r="K260" s="69"/>
    </row>
    <row r="261" spans="1:11" s="65" customFormat="1" ht="12.75">
      <c r="A261" s="65" t="s">
        <v>231</v>
      </c>
      <c r="B261" s="65" t="s">
        <v>232</v>
      </c>
      <c r="D261" s="65" t="s">
        <v>203</v>
      </c>
      <c r="K261" s="69"/>
    </row>
    <row r="262" spans="2:11" s="65" customFormat="1" ht="12.75">
      <c r="B262" s="65" t="s">
        <v>233</v>
      </c>
      <c r="D262" s="65" t="s">
        <v>211</v>
      </c>
      <c r="K262" s="69"/>
    </row>
    <row r="263" spans="4:11" s="65" customFormat="1" ht="12.75">
      <c r="D263" s="65" t="s">
        <v>209</v>
      </c>
      <c r="K263" s="69"/>
    </row>
    <row r="264" spans="4:11" s="65" customFormat="1" ht="12.75">
      <c r="D264" s="65" t="s">
        <v>234</v>
      </c>
      <c r="K264" s="69"/>
    </row>
    <row r="265" spans="4:11" s="65" customFormat="1" ht="12.75">
      <c r="D265" s="65" t="s">
        <v>235</v>
      </c>
      <c r="F265" s="65" t="s">
        <v>236</v>
      </c>
      <c r="K265" s="69"/>
    </row>
    <row r="266" spans="4:11" s="65" customFormat="1" ht="12.75">
      <c r="D266" s="65" t="s">
        <v>191</v>
      </c>
      <c r="F266" s="65" t="s">
        <v>237</v>
      </c>
      <c r="K266" s="69"/>
    </row>
    <row r="267" spans="4:11" s="65" customFormat="1" ht="12.75">
      <c r="D267" s="65" t="s">
        <v>158</v>
      </c>
      <c r="H267" s="65">
        <v>41000</v>
      </c>
      <c r="I267" s="65">
        <v>0</v>
      </c>
      <c r="K267" s="69">
        <f>N162/H267</f>
        <v>0</v>
      </c>
    </row>
    <row r="268" spans="4:11" s="65" customFormat="1" ht="12.75">
      <c r="D268" s="65" t="s">
        <v>196</v>
      </c>
      <c r="H268" s="65">
        <v>39000</v>
      </c>
      <c r="I268" s="65">
        <v>0</v>
      </c>
      <c r="K268" s="69">
        <f>N163/H268</f>
        <v>0</v>
      </c>
    </row>
    <row r="269" spans="4:11" s="65" customFormat="1" ht="12.75">
      <c r="D269" s="65" t="s">
        <v>198</v>
      </c>
      <c r="H269" s="65">
        <v>37000</v>
      </c>
      <c r="I269" s="65">
        <v>0</v>
      </c>
      <c r="K269" s="69">
        <f>N164/H269</f>
        <v>0.12504324324324326</v>
      </c>
    </row>
    <row r="270" s="65" customFormat="1" ht="12.75">
      <c r="K270" s="69"/>
    </row>
    <row r="271" spans="4:11" s="65" customFormat="1" ht="12.75">
      <c r="D271" s="65" t="s">
        <v>238</v>
      </c>
      <c r="K271" s="69"/>
    </row>
    <row r="272" spans="4:11" s="65" customFormat="1" ht="12.75">
      <c r="D272" s="65" t="s">
        <v>239</v>
      </c>
      <c r="F272" s="65" t="s">
        <v>240</v>
      </c>
      <c r="K272" s="69"/>
    </row>
    <row r="273" spans="4:11" s="65" customFormat="1" ht="12.75">
      <c r="D273" s="65" t="s">
        <v>191</v>
      </c>
      <c r="K273" s="69"/>
    </row>
    <row r="274" spans="4:11" s="65" customFormat="1" ht="12.75">
      <c r="D274" s="65" t="s">
        <v>158</v>
      </c>
      <c r="H274" s="65">
        <v>450</v>
      </c>
      <c r="I274" s="65">
        <v>0</v>
      </c>
      <c r="K274" s="69">
        <f>N167/H274</f>
        <v>0</v>
      </c>
    </row>
    <row r="275" spans="4:11" s="65" customFormat="1" ht="12.75">
      <c r="D275" s="65" t="s">
        <v>196</v>
      </c>
      <c r="H275" s="65">
        <v>375</v>
      </c>
      <c r="I275" s="65">
        <v>0</v>
      </c>
      <c r="K275" s="69">
        <f>N168/H275</f>
        <v>0</v>
      </c>
    </row>
    <row r="276" spans="4:11" s="65" customFormat="1" ht="12.75">
      <c r="D276" s="65" t="s">
        <v>198</v>
      </c>
      <c r="H276" s="65">
        <v>310</v>
      </c>
      <c r="I276" s="65">
        <v>0</v>
      </c>
      <c r="K276" s="69">
        <f>N169/H276</f>
        <v>0.2903225806451613</v>
      </c>
    </row>
    <row r="277" spans="5:11" s="65" customFormat="1" ht="12.75">
      <c r="E277" s="65" t="s">
        <v>201</v>
      </c>
      <c r="G277" s="65">
        <v>0</v>
      </c>
      <c r="I277" s="65">
        <v>0</v>
      </c>
      <c r="K277" s="69"/>
    </row>
    <row r="278" s="65" customFormat="1" ht="12.75">
      <c r="K278" s="69"/>
    </row>
    <row r="279" spans="1:11" s="65" customFormat="1" ht="12.75">
      <c r="A279" s="65" t="s">
        <v>241</v>
      </c>
      <c r="B279" s="65" t="s">
        <v>242</v>
      </c>
      <c r="D279" s="65" t="s">
        <v>243</v>
      </c>
      <c r="K279" s="69"/>
    </row>
    <row r="280" spans="4:11" s="65" customFormat="1" ht="12.75">
      <c r="D280" s="65" t="s">
        <v>244</v>
      </c>
      <c r="F280" s="65" t="s">
        <v>240</v>
      </c>
      <c r="K280" s="69"/>
    </row>
    <row r="281" spans="4:11" s="65" customFormat="1" ht="12.75">
      <c r="D281" s="65" t="s">
        <v>245</v>
      </c>
      <c r="K281" s="69"/>
    </row>
    <row r="282" spans="4:11" s="65" customFormat="1" ht="12.75">
      <c r="D282" s="65" t="s">
        <v>158</v>
      </c>
      <c r="H282" s="65">
        <v>2350</v>
      </c>
      <c r="I282" s="65">
        <v>0</v>
      </c>
      <c r="K282" s="69">
        <f>N167/H282</f>
        <v>0</v>
      </c>
    </row>
    <row r="283" spans="4:11" s="65" customFormat="1" ht="12.75">
      <c r="D283" s="65" t="s">
        <v>196</v>
      </c>
      <c r="H283" s="65">
        <v>2250</v>
      </c>
      <c r="I283" s="65">
        <v>0</v>
      </c>
      <c r="K283" s="69">
        <f>N168/H283</f>
        <v>0</v>
      </c>
    </row>
    <row r="284" spans="4:11" s="65" customFormat="1" ht="12.75">
      <c r="D284" s="65" t="s">
        <v>198</v>
      </c>
      <c r="H284" s="65">
        <v>2200</v>
      </c>
      <c r="I284" s="65">
        <v>0</v>
      </c>
      <c r="K284" s="69">
        <f>N169/H284</f>
        <v>0.04090909090909091</v>
      </c>
    </row>
    <row r="285" spans="5:11" s="65" customFormat="1" ht="12.75">
      <c r="E285" s="65" t="s">
        <v>201</v>
      </c>
      <c r="G285" s="65">
        <v>0</v>
      </c>
      <c r="I285" s="65">
        <v>0</v>
      </c>
      <c r="K285" s="69"/>
    </row>
    <row r="286" s="65" customFormat="1" ht="12.75">
      <c r="K286" s="69">
        <f>K148+K149+K150+K158+K159+K160+K165+K166+K167+K171+K172+K173+K179+K180+K181+K185+K186+K187+K193+K194+K195+K199+K200+K201+K207+K208+K209+K213+K214+K215+K222+K223+K224+K228+K229+K230+K234+K235+K236+K243+K244+K245+K250+K251+K252+K256+K257+K258+K267+K268+K269+K274+K275+K276+K282+K283+K284</f>
        <v>1.0704219435974958</v>
      </c>
    </row>
    <row r="287" spans="1:11" s="65" customFormat="1" ht="12.75">
      <c r="A287" s="65" t="s">
        <v>246</v>
      </c>
      <c r="B287" s="65" t="s">
        <v>247</v>
      </c>
      <c r="F287" s="65" t="s">
        <v>248</v>
      </c>
      <c r="I287" s="65">
        <v>1</v>
      </c>
      <c r="K287" s="69">
        <f>K286*1.12</f>
        <v>1.1988725768291955</v>
      </c>
    </row>
    <row r="288" s="65" customFormat="1" ht="12.75">
      <c r="B288" s="65" t="s">
        <v>249</v>
      </c>
    </row>
    <row r="289" s="65" customFormat="1" ht="12.75">
      <c r="B289" s="65" t="s">
        <v>250</v>
      </c>
    </row>
    <row r="290" s="65" customFormat="1" ht="12.75"/>
    <row r="291" spans="1:9" s="65" customFormat="1" ht="12.75">
      <c r="A291" s="65" t="s">
        <v>251</v>
      </c>
      <c r="B291" s="65" t="s">
        <v>252</v>
      </c>
      <c r="I291" s="65">
        <v>2</v>
      </c>
    </row>
    <row r="292" spans="1:9" s="65" customFormat="1" ht="12.75">
      <c r="A292" s="65" t="s">
        <v>253</v>
      </c>
      <c r="B292" s="65" t="s">
        <v>254</v>
      </c>
      <c r="I292" s="65">
        <v>1</v>
      </c>
    </row>
    <row r="293" spans="1:9" s="65" customFormat="1" ht="12.75">
      <c r="A293" s="65" t="s">
        <v>255</v>
      </c>
      <c r="B293" s="65" t="s">
        <v>256</v>
      </c>
      <c r="I293" s="65">
        <v>1</v>
      </c>
    </row>
    <row r="294" spans="2:9" s="65" customFormat="1" ht="12.75">
      <c r="B294" s="65" t="s">
        <v>257</v>
      </c>
      <c r="I294" s="65">
        <v>5</v>
      </c>
    </row>
    <row r="295" s="65" customFormat="1" ht="12.75">
      <c r="F295" s="65" t="s">
        <v>258</v>
      </c>
    </row>
    <row r="296" spans="1:9" s="65" customFormat="1" ht="12.75">
      <c r="A296" s="65" t="s">
        <v>259</v>
      </c>
      <c r="B296" s="65" t="s">
        <v>260</v>
      </c>
      <c r="E296" s="65" t="s">
        <v>261</v>
      </c>
      <c r="H296" s="65">
        <v>1200</v>
      </c>
      <c r="I296" s="65">
        <f>G296/H296</f>
        <v>0</v>
      </c>
    </row>
    <row r="297" spans="5:9" s="65" customFormat="1" ht="12.75">
      <c r="E297" s="65" t="s">
        <v>262</v>
      </c>
      <c r="G297" s="65">
        <v>604</v>
      </c>
      <c r="H297" s="65">
        <v>1650</v>
      </c>
      <c r="I297" s="69">
        <f>G297/H297</f>
        <v>0.3660606060606061</v>
      </c>
    </row>
    <row r="298" spans="5:9" s="65" customFormat="1" ht="12.75">
      <c r="E298" s="65" t="s">
        <v>263</v>
      </c>
      <c r="G298" s="65">
        <v>3396</v>
      </c>
      <c r="H298" s="65">
        <v>9000</v>
      </c>
      <c r="I298" s="69">
        <f>G298/H298</f>
        <v>0.37733333333333335</v>
      </c>
    </row>
    <row r="299" spans="3:9" s="65" customFormat="1" ht="12.75">
      <c r="C299" s="65" t="s">
        <v>201</v>
      </c>
      <c r="G299" s="65">
        <f>G296+G297+G298</f>
        <v>4000</v>
      </c>
      <c r="I299" s="69">
        <f>I296+I297+I298</f>
        <v>0.7433939393939395</v>
      </c>
    </row>
    <row r="300" s="65" customFormat="1" ht="12.75">
      <c r="F300" s="65" t="s">
        <v>258</v>
      </c>
    </row>
    <row r="301" spans="1:9" s="65" customFormat="1" ht="12.75">
      <c r="A301" s="65" t="s">
        <v>264</v>
      </c>
      <c r="B301" s="65" t="s">
        <v>265</v>
      </c>
      <c r="E301" s="65" t="s">
        <v>266</v>
      </c>
      <c r="G301" s="65">
        <v>410</v>
      </c>
      <c r="H301" s="65">
        <v>800</v>
      </c>
      <c r="I301" s="69">
        <f>G301/H301</f>
        <v>0.5125</v>
      </c>
    </row>
    <row r="302" spans="2:9" s="65" customFormat="1" ht="12.75">
      <c r="B302" s="65" t="s">
        <v>267</v>
      </c>
      <c r="E302" s="65" t="s">
        <v>268</v>
      </c>
      <c r="H302" s="65">
        <v>960</v>
      </c>
      <c r="I302" s="69">
        <f>G302/H302</f>
        <v>0</v>
      </c>
    </row>
    <row r="303" s="65" customFormat="1" ht="12.75">
      <c r="E303" s="65" t="s">
        <v>269</v>
      </c>
    </row>
    <row r="304" spans="3:9" s="65" customFormat="1" ht="12.75">
      <c r="C304" s="65" t="s">
        <v>201</v>
      </c>
      <c r="G304" s="65">
        <f>G301+G302+G303</f>
        <v>410</v>
      </c>
      <c r="I304" s="69">
        <f>I301+I302</f>
        <v>0.5125</v>
      </c>
    </row>
    <row r="305" s="65" customFormat="1" ht="12.75">
      <c r="F305" s="65" t="s">
        <v>270</v>
      </c>
    </row>
    <row r="306" spans="1:9" s="65" customFormat="1" ht="12.75">
      <c r="A306" s="65" t="s">
        <v>271</v>
      </c>
      <c r="B306" s="65" t="s">
        <v>272</v>
      </c>
      <c r="E306" s="65" t="s">
        <v>273</v>
      </c>
      <c r="H306" s="65">
        <v>500</v>
      </c>
      <c r="I306" s="69">
        <f>G306/H306</f>
        <v>0</v>
      </c>
    </row>
    <row r="307" spans="5:9" s="65" customFormat="1" ht="12.75">
      <c r="E307" s="65" t="s">
        <v>274</v>
      </c>
      <c r="H307" s="65">
        <v>700</v>
      </c>
      <c r="I307" s="69">
        <f>G307/H307</f>
        <v>0</v>
      </c>
    </row>
    <row r="308" s="65" customFormat="1" ht="12.75">
      <c r="E308" s="65" t="s">
        <v>275</v>
      </c>
    </row>
    <row r="309" spans="3:9" s="65" customFormat="1" ht="12.75">
      <c r="C309" s="65" t="s">
        <v>201</v>
      </c>
      <c r="G309" s="65">
        <f>G306+G307</f>
        <v>0</v>
      </c>
      <c r="I309" s="69">
        <f>I306+I307</f>
        <v>0</v>
      </c>
    </row>
    <row r="310" spans="1:2" s="65" customFormat="1" ht="12.75">
      <c r="A310" s="65" t="s">
        <v>276</v>
      </c>
      <c r="B310" s="65" t="s">
        <v>277</v>
      </c>
    </row>
    <row r="311" spans="2:9" s="65" customFormat="1" ht="12.75">
      <c r="B311" s="65" t="s">
        <v>278</v>
      </c>
      <c r="I311" s="65">
        <v>2</v>
      </c>
    </row>
  </sheetData>
  <sheetProtection/>
  <mergeCells count="44">
    <mergeCell ref="A118:D118"/>
    <mergeCell ref="C99:I99"/>
    <mergeCell ref="A108:G108"/>
    <mergeCell ref="A112:E112"/>
    <mergeCell ref="A114:G114"/>
    <mergeCell ref="A71:F71"/>
    <mergeCell ref="A72:G72"/>
    <mergeCell ref="A73:D73"/>
    <mergeCell ref="E73:G73"/>
    <mergeCell ref="A74:E74"/>
    <mergeCell ref="A55:G55"/>
    <mergeCell ref="A56:G56"/>
    <mergeCell ref="A59:D59"/>
    <mergeCell ref="A61:F61"/>
    <mergeCell ref="A64:E64"/>
    <mergeCell ref="C68:D68"/>
    <mergeCell ref="A43:F43"/>
    <mergeCell ref="A44:F44"/>
    <mergeCell ref="A49:F49"/>
    <mergeCell ref="A53:G53"/>
    <mergeCell ref="A54:E54"/>
    <mergeCell ref="A36:G36"/>
    <mergeCell ref="A37:G37"/>
    <mergeCell ref="A38:G38"/>
    <mergeCell ref="A40:G40"/>
    <mergeCell ref="A41:G41"/>
    <mergeCell ref="A42:G42"/>
    <mergeCell ref="A28:G28"/>
    <mergeCell ref="A30:E30"/>
    <mergeCell ref="A32:G32"/>
    <mergeCell ref="A33:G33"/>
    <mergeCell ref="A34:G34"/>
    <mergeCell ref="A35:G35"/>
    <mergeCell ref="A15:G15"/>
    <mergeCell ref="A19:F19"/>
    <mergeCell ref="A21:F21"/>
    <mergeCell ref="A24:F24"/>
    <mergeCell ref="A26:G26"/>
    <mergeCell ref="A27:G27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6 M56 M59 M67 L77:M77 H102:H104 H106 H108 K108 H114 H116 H118 H120 H122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316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0.7109375" style="6" customWidth="1"/>
    <col min="10" max="10" width="8.28125" style="6" hidden="1" customWidth="1"/>
    <col min="11" max="11" width="14.0039062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8" width="9.140625" style="65" customWidth="1"/>
    <col min="19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4.25" customHeight="1">
      <c r="A4" s="116" t="s">
        <v>1108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4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4.25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8" s="9" customFormat="1" ht="15.75">
      <c r="A11" s="11"/>
      <c r="B11" s="11"/>
      <c r="C11" s="12"/>
      <c r="D11" s="11"/>
      <c r="K11" s="5"/>
      <c r="L11" s="67" t="e">
        <f>#REF!</f>
        <v>#REF!</v>
      </c>
      <c r="M11" s="67"/>
      <c r="N11" s="67"/>
      <c r="O11" s="67"/>
      <c r="P11" s="67"/>
      <c r="Q11" s="67"/>
      <c r="R11" s="67"/>
    </row>
    <row r="12" spans="1:18" s="9" customFormat="1" ht="15.75">
      <c r="A12" s="11" t="s">
        <v>69</v>
      </c>
      <c r="B12" s="11"/>
      <c r="C12" s="12"/>
      <c r="D12" s="11"/>
      <c r="E12" s="9">
        <v>64082.156</v>
      </c>
      <c r="F12" s="9" t="s">
        <v>70</v>
      </c>
      <c r="H12" s="13"/>
      <c r="I12" s="13"/>
      <c r="K12" s="13"/>
      <c r="L12" s="92">
        <f>(K16+K31+K47+K56+K68+K75)</f>
        <v>80390.2601545003</v>
      </c>
      <c r="M12" s="67"/>
      <c r="N12" s="67"/>
      <c r="O12" s="67"/>
      <c r="P12" s="67"/>
      <c r="Q12" s="67"/>
      <c r="R12" s="67"/>
    </row>
    <row r="13" spans="3:18" s="9" customFormat="1" ht="15.75">
      <c r="C13" s="15" t="s">
        <v>71</v>
      </c>
      <c r="D13" s="15"/>
      <c r="K13" s="5"/>
      <c r="L13" s="67"/>
      <c r="M13" s="67"/>
      <c r="N13" s="67"/>
      <c r="O13" s="67"/>
      <c r="P13" s="67"/>
      <c r="Q13" s="67"/>
      <c r="R13" s="67"/>
    </row>
    <row r="14" spans="1:13" ht="15.75">
      <c r="A14" s="114" t="s">
        <v>72</v>
      </c>
      <c r="B14" s="114"/>
      <c r="C14" s="114"/>
      <c r="D14" s="114"/>
      <c r="E14" s="114"/>
      <c r="F14" s="114"/>
      <c r="G14" s="114"/>
      <c r="H14" s="16"/>
      <c r="I14" s="16"/>
      <c r="J14" s="16"/>
      <c r="K14" s="17">
        <f>K16+K31+K56+K68+K75+K85+K47</f>
        <v>80500.5604045003</v>
      </c>
      <c r="L14" s="68"/>
      <c r="M14" s="65" t="s">
        <v>309</v>
      </c>
    </row>
    <row r="15" spans="1:13" ht="15.75">
      <c r="A15" s="15"/>
      <c r="B15" s="15"/>
      <c r="C15" s="19"/>
      <c r="D15" s="15"/>
      <c r="E15" s="15"/>
      <c r="F15" s="15"/>
      <c r="G15" s="15"/>
      <c r="H15" s="15"/>
      <c r="I15" s="15"/>
      <c r="J15" s="15"/>
      <c r="K15" s="18"/>
      <c r="L15" s="69"/>
      <c r="M15" s="65" t="s">
        <v>310</v>
      </c>
    </row>
    <row r="16" spans="1:15" ht="15.75">
      <c r="A16" s="20" t="s">
        <v>75</v>
      </c>
      <c r="B16" s="20"/>
      <c r="C16" s="20"/>
      <c r="D16" s="20"/>
      <c r="E16" s="20"/>
      <c r="F16" s="20"/>
      <c r="G16" s="20"/>
      <c r="H16" s="20"/>
      <c r="I16" s="21"/>
      <c r="J16" s="20"/>
      <c r="K16" s="21">
        <f>H18+H19+H20+H22+H24+H25+H26+H27+H28+H29</f>
        <v>14332.057755681253</v>
      </c>
      <c r="M16" s="65" t="s">
        <v>76</v>
      </c>
      <c r="O16" s="78">
        <f>I304</f>
        <v>1.5646666666666667</v>
      </c>
    </row>
    <row r="17" spans="1:15" ht="12.75">
      <c r="A17" s="22" t="s">
        <v>311</v>
      </c>
      <c r="B17" s="22"/>
      <c r="C17" s="22"/>
      <c r="D17" s="22"/>
      <c r="E17" s="22"/>
      <c r="F17" s="22"/>
      <c r="G17" s="22"/>
      <c r="H17" s="22"/>
      <c r="I17" s="22"/>
      <c r="J17" s="22">
        <v>2972395.8</v>
      </c>
      <c r="K17" s="23"/>
      <c r="M17" s="65" t="s">
        <v>78</v>
      </c>
      <c r="O17" s="78">
        <f>I309</f>
        <v>0.5510416666666667</v>
      </c>
    </row>
    <row r="18" spans="1:15" ht="12.75">
      <c r="A18" s="113" t="s">
        <v>312</v>
      </c>
      <c r="B18" s="113"/>
      <c r="C18" s="113"/>
      <c r="D18" s="113"/>
      <c r="E18" s="113"/>
      <c r="F18" s="113"/>
      <c r="G18" s="22"/>
      <c r="H18" s="23">
        <f>O16*2600*1.75*1.07</f>
        <v>7617.579666666667</v>
      </c>
      <c r="I18" s="22"/>
      <c r="J18" s="22"/>
      <c r="K18" s="23"/>
      <c r="M18" s="65" t="s">
        <v>80</v>
      </c>
      <c r="O18" s="78">
        <f>I314</f>
        <v>0.612</v>
      </c>
    </row>
    <row r="19" spans="1:15" ht="12.75">
      <c r="A19" s="113" t="s">
        <v>313</v>
      </c>
      <c r="B19" s="113"/>
      <c r="C19" s="113"/>
      <c r="D19" s="113"/>
      <c r="E19" s="113"/>
      <c r="F19" s="113"/>
      <c r="G19" s="22"/>
      <c r="H19" s="23">
        <f>O18*2600*1.07*1.5</f>
        <v>2553.876</v>
      </c>
      <c r="I19" s="22"/>
      <c r="J19" s="22"/>
      <c r="K19" s="23"/>
      <c r="M19" s="65" t="s">
        <v>314</v>
      </c>
      <c r="O19" s="65">
        <v>5380.5</v>
      </c>
    </row>
    <row r="20" spans="1:15" ht="12.75">
      <c r="A20" s="113" t="s">
        <v>315</v>
      </c>
      <c r="B20" s="113"/>
      <c r="C20" s="113"/>
      <c r="D20" s="113"/>
      <c r="E20" s="113"/>
      <c r="F20" s="113"/>
      <c r="G20" s="22"/>
      <c r="H20" s="23">
        <f>O17*2203*1.3*1.07</f>
        <v>1688.5972052083334</v>
      </c>
      <c r="I20" s="22"/>
      <c r="J20" s="22"/>
      <c r="K20" s="23"/>
      <c r="M20" s="65" t="s">
        <v>83</v>
      </c>
      <c r="O20" s="65">
        <v>302</v>
      </c>
    </row>
    <row r="21" spans="1:13" ht="12.75" hidden="1">
      <c r="A21" s="22"/>
      <c r="B21" s="22"/>
      <c r="C21" s="22"/>
      <c r="D21" s="22"/>
      <c r="E21" s="22"/>
      <c r="F21" s="22"/>
      <c r="G21" s="22"/>
      <c r="H21" s="23"/>
      <c r="I21" s="22"/>
      <c r="J21" s="22"/>
      <c r="M21" s="65" t="s">
        <v>316</v>
      </c>
    </row>
    <row r="22" spans="1:16" ht="12.75">
      <c r="A22" s="23">
        <f>H18+H19+H20</f>
        <v>11860.052871875003</v>
      </c>
      <c r="B22" s="22" t="s">
        <v>84</v>
      </c>
      <c r="C22" s="22"/>
      <c r="D22" s="22"/>
      <c r="E22" s="22"/>
      <c r="F22" s="22"/>
      <c r="G22" s="22"/>
      <c r="H22" s="23">
        <f>(H18+H19+H20)*14.2%</f>
        <v>1684.1275078062502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317</v>
      </c>
      <c r="B24" s="113"/>
      <c r="C24" s="113"/>
      <c r="D24" s="113"/>
      <c r="E24" s="113"/>
      <c r="F24" s="113"/>
      <c r="G24" s="22"/>
      <c r="H24" s="23">
        <f>O19*0.057</f>
        <v>306.68850000000003</v>
      </c>
      <c r="I24" s="23"/>
      <c r="J24" s="22"/>
      <c r="K24" s="23"/>
      <c r="N24" s="65">
        <v>10</v>
      </c>
      <c r="P24" s="65">
        <f>O24/2</f>
        <v>0</v>
      </c>
    </row>
    <row r="25" spans="1:16" ht="12.75">
      <c r="A25" s="113" t="s">
        <v>318</v>
      </c>
      <c r="B25" s="113"/>
      <c r="C25" s="113"/>
      <c r="D25" s="113"/>
      <c r="E25" s="113"/>
      <c r="F25" s="113"/>
      <c r="G25" s="113"/>
      <c r="H25" s="23">
        <f>0.0018*O19</f>
        <v>9.684899999999999</v>
      </c>
      <c r="I25" s="23"/>
      <c r="J25" s="22"/>
      <c r="K25" s="23"/>
      <c r="N25" s="65">
        <v>12</v>
      </c>
      <c r="P25" s="65">
        <f>O25/2</f>
        <v>0</v>
      </c>
    </row>
    <row r="26" spans="1:15" ht="12.75">
      <c r="A26" s="113" t="s">
        <v>319</v>
      </c>
      <c r="B26" s="113"/>
      <c r="C26" s="113"/>
      <c r="D26" s="113"/>
      <c r="E26" s="113"/>
      <c r="F26" s="113"/>
      <c r="G26" s="113"/>
      <c r="H26" s="23">
        <f>0.0085*O19</f>
        <v>45.73425</v>
      </c>
      <c r="I26" s="23"/>
      <c r="J26" s="22"/>
      <c r="K26" s="23"/>
      <c r="N26" s="65">
        <v>16</v>
      </c>
      <c r="O26" s="65">
        <v>2</v>
      </c>
    </row>
    <row r="27" spans="1:13" ht="12.75">
      <c r="A27" s="113" t="s">
        <v>320</v>
      </c>
      <c r="B27" s="113"/>
      <c r="C27" s="113"/>
      <c r="D27" s="113"/>
      <c r="E27" s="113"/>
      <c r="F27" s="113"/>
      <c r="G27" s="113"/>
      <c r="H27" s="23">
        <f>O19*0.005</f>
        <v>26.9025</v>
      </c>
      <c r="I27" s="22"/>
      <c r="J27" s="22"/>
      <c r="K27" s="23"/>
      <c r="M27" s="65" t="s">
        <v>90</v>
      </c>
    </row>
    <row r="28" spans="1:15" ht="12.75">
      <c r="A28" s="113" t="s">
        <v>321</v>
      </c>
      <c r="B28" s="113"/>
      <c r="C28" s="113"/>
      <c r="D28" s="113"/>
      <c r="E28" s="113"/>
      <c r="F28" s="113"/>
      <c r="G28" s="113"/>
      <c r="H28" s="23">
        <f>O19*0.017</f>
        <v>91.4685</v>
      </c>
      <c r="I28" s="22"/>
      <c r="J28" s="22">
        <v>13606.82</v>
      </c>
      <c r="K28" s="23"/>
      <c r="M28" s="65" t="s">
        <v>92</v>
      </c>
      <c r="O28" s="65">
        <v>27</v>
      </c>
    </row>
    <row r="29" spans="1:15" ht="12.75">
      <c r="A29" s="113" t="s">
        <v>322</v>
      </c>
      <c r="B29" s="113"/>
      <c r="C29" s="113"/>
      <c r="D29" s="113"/>
      <c r="E29" s="113"/>
      <c r="F29" s="113"/>
      <c r="G29" s="113"/>
      <c r="H29" s="23">
        <f>0.054*O19*1.058</f>
        <v>307.39872599999995</v>
      </c>
      <c r="I29" s="22"/>
      <c r="J29" s="22"/>
      <c r="K29" s="23"/>
      <c r="M29" s="65" t="s">
        <v>94</v>
      </c>
      <c r="O29" s="65">
        <v>8100</v>
      </c>
    </row>
    <row r="30" spans="1:11" ht="12.75">
      <c r="A30" s="24"/>
      <c r="B30" s="24"/>
      <c r="C30" s="24"/>
      <c r="D30" s="24"/>
      <c r="E30" s="24"/>
      <c r="F30" s="24"/>
      <c r="G30" s="24"/>
      <c r="H30" s="23"/>
      <c r="I30" s="22"/>
      <c r="J30" s="22"/>
      <c r="K30" s="23"/>
    </row>
    <row r="31" spans="1:15" ht="15.75">
      <c r="A31" s="110" t="s">
        <v>95</v>
      </c>
      <c r="B31" s="110"/>
      <c r="C31" s="110"/>
      <c r="D31" s="110"/>
      <c r="E31" s="110"/>
      <c r="F31" s="20"/>
      <c r="G31" s="20"/>
      <c r="H31" s="27"/>
      <c r="I31" s="20"/>
      <c r="J31" s="20"/>
      <c r="K31" s="21">
        <f>H33+H34+H35+H36+H37+H38+H39+H40+H41+H42+H43+H44+H45</f>
        <v>27307.41010190333</v>
      </c>
      <c r="M31" s="65" t="s">
        <v>96</v>
      </c>
      <c r="O31" s="69">
        <f>K292</f>
        <v>1.539040189302971</v>
      </c>
    </row>
    <row r="32" spans="1:11" ht="12.75">
      <c r="A32" s="22"/>
      <c r="B32" s="22" t="s">
        <v>64</v>
      </c>
      <c r="C32" s="22"/>
      <c r="D32" s="22"/>
      <c r="E32" s="22"/>
      <c r="F32" s="22"/>
      <c r="G32" s="22"/>
      <c r="H32" s="28"/>
      <c r="I32" s="22"/>
      <c r="J32" s="22"/>
      <c r="K32" s="29"/>
    </row>
    <row r="33" spans="1:11" ht="12.75">
      <c r="A33" s="113" t="s">
        <v>323</v>
      </c>
      <c r="B33" s="113"/>
      <c r="C33" s="113"/>
      <c r="D33" s="113"/>
      <c r="E33" s="113"/>
      <c r="F33" s="113"/>
      <c r="G33" s="113"/>
      <c r="H33" s="28">
        <f>(O20*1.5)/12*90.3*1.058</f>
        <v>3606.53685</v>
      </c>
      <c r="I33" s="22"/>
      <c r="J33" s="22"/>
      <c r="K33" s="29"/>
    </row>
    <row r="34" spans="1:12" ht="12.75">
      <c r="A34" s="113" t="s">
        <v>324</v>
      </c>
      <c r="B34" s="113"/>
      <c r="C34" s="113"/>
      <c r="D34" s="113"/>
      <c r="E34" s="113"/>
      <c r="F34" s="113"/>
      <c r="G34" s="113"/>
      <c r="H34" s="28">
        <f>O20*1.5*33.1/12*1.058</f>
        <v>1321.99745</v>
      </c>
      <c r="I34" s="22"/>
      <c r="J34" s="22"/>
      <c r="K34" s="29"/>
      <c r="L34" s="65">
        <f>1.16*O19</f>
        <v>6241.379999999999</v>
      </c>
    </row>
    <row r="35" spans="1:11" ht="12.75">
      <c r="A35" s="113" t="s">
        <v>325</v>
      </c>
      <c r="B35" s="113"/>
      <c r="C35" s="113"/>
      <c r="D35" s="113"/>
      <c r="E35" s="113"/>
      <c r="F35" s="113"/>
      <c r="G35" s="113"/>
      <c r="H35" s="28">
        <f>O29*2.48</f>
        <v>20088</v>
      </c>
      <c r="I35" s="22"/>
      <c r="J35" s="22"/>
      <c r="K35" s="29"/>
    </row>
    <row r="36" spans="1:11" ht="12.75">
      <c r="A36" s="113" t="s">
        <v>326</v>
      </c>
      <c r="B36" s="113"/>
      <c r="C36" s="113"/>
      <c r="D36" s="113"/>
      <c r="E36" s="113"/>
      <c r="F36" s="113"/>
      <c r="G36" s="113"/>
      <c r="H36" s="28">
        <f>546.8*1.279/12</f>
        <v>58.27976666666666</v>
      </c>
      <c r="I36" s="22"/>
      <c r="J36" s="22"/>
      <c r="K36" s="29"/>
    </row>
    <row r="37" spans="1:11" ht="12.75">
      <c r="A37" s="113" t="s">
        <v>327</v>
      </c>
      <c r="B37" s="113"/>
      <c r="C37" s="113"/>
      <c r="D37" s="113"/>
      <c r="E37" s="113"/>
      <c r="F37" s="113"/>
      <c r="G37" s="113"/>
      <c r="H37" s="28">
        <f>O19*0.0027</f>
        <v>14.52735</v>
      </c>
      <c r="I37" s="22"/>
      <c r="J37" s="22"/>
      <c r="K37" s="29"/>
    </row>
    <row r="38" spans="1:11" ht="12.75">
      <c r="A38" s="113" t="s">
        <v>328</v>
      </c>
      <c r="B38" s="113"/>
      <c r="C38" s="113"/>
      <c r="D38" s="113"/>
      <c r="E38" s="24"/>
      <c r="F38" s="24"/>
      <c r="G38" s="24"/>
      <c r="H38" s="28">
        <f>O19*0.216</f>
        <v>1162.1879999999999</v>
      </c>
      <c r="I38" s="22"/>
      <c r="J38" s="22"/>
      <c r="K38" s="29"/>
    </row>
    <row r="39" spans="1:11" ht="12.75">
      <c r="A39" s="113" t="s">
        <v>329</v>
      </c>
      <c r="B39" s="113"/>
      <c r="C39" s="113"/>
      <c r="D39" s="113"/>
      <c r="E39" s="113"/>
      <c r="F39" s="113"/>
      <c r="G39" s="113"/>
      <c r="H39" s="28">
        <f>O28*4.81/12</f>
        <v>10.822499999999998</v>
      </c>
      <c r="I39" s="22"/>
      <c r="J39" s="22"/>
      <c r="K39" s="29"/>
    </row>
    <row r="40" spans="1:11" ht="12.75">
      <c r="A40" s="113" t="s">
        <v>330</v>
      </c>
      <c r="B40" s="113"/>
      <c r="C40" s="113"/>
      <c r="D40" s="113"/>
      <c r="E40" s="113"/>
      <c r="F40" s="113"/>
      <c r="G40" s="113"/>
      <c r="H40" s="28">
        <f>138*80/12/3</f>
        <v>306.6666666666667</v>
      </c>
      <c r="I40" s="22"/>
      <c r="J40" s="22"/>
      <c r="K40" s="29"/>
    </row>
    <row r="41" spans="1:11" ht="12.75">
      <c r="A41" s="113" t="s">
        <v>331</v>
      </c>
      <c r="B41" s="113"/>
      <c r="C41" s="113"/>
      <c r="D41" s="113"/>
      <c r="E41" s="113"/>
      <c r="F41" s="113"/>
      <c r="G41" s="113"/>
      <c r="H41" s="28">
        <f>O19*0.027</f>
        <v>145.27349999999998</v>
      </c>
      <c r="I41" s="22"/>
      <c r="J41" s="32"/>
      <c r="K41" s="29"/>
    </row>
    <row r="42" spans="1:11" ht="12.75">
      <c r="A42" s="113" t="s">
        <v>332</v>
      </c>
      <c r="B42" s="113"/>
      <c r="C42" s="113"/>
      <c r="D42" s="113"/>
      <c r="E42" s="113"/>
      <c r="F42" s="113"/>
      <c r="G42" s="113"/>
      <c r="H42" s="28">
        <f>O19*0.0165*1.18*1.142</f>
        <v>119.63401856999998</v>
      </c>
      <c r="I42" s="22"/>
      <c r="J42" s="22"/>
      <c r="K42" s="29"/>
    </row>
    <row r="43" spans="1:11" ht="12.75">
      <c r="A43" s="113" t="s">
        <v>333</v>
      </c>
      <c r="B43" s="113"/>
      <c r="C43" s="113"/>
      <c r="D43" s="113"/>
      <c r="E43" s="113"/>
      <c r="F43" s="113"/>
      <c r="G43" s="113"/>
      <c r="H43" s="28">
        <f>O19*0.021</f>
        <v>112.99050000000001</v>
      </c>
      <c r="I43" s="22"/>
      <c r="J43" s="22"/>
      <c r="K43" s="29"/>
    </row>
    <row r="44" spans="1:11" ht="12.75">
      <c r="A44" s="113" t="s">
        <v>334</v>
      </c>
      <c r="B44" s="113"/>
      <c r="C44" s="113"/>
      <c r="D44" s="113"/>
      <c r="E44" s="113"/>
      <c r="F44" s="113"/>
      <c r="G44" s="24"/>
      <c r="H44" s="28">
        <f>O19*0.053</f>
        <v>285.1665</v>
      </c>
      <c r="I44" s="22"/>
      <c r="J44" s="22"/>
      <c r="K44" s="29"/>
    </row>
    <row r="45" spans="1:11" ht="12.75">
      <c r="A45" s="113" t="s">
        <v>335</v>
      </c>
      <c r="B45" s="113"/>
      <c r="C45" s="113"/>
      <c r="D45" s="113"/>
      <c r="E45" s="113"/>
      <c r="F45" s="113"/>
      <c r="G45" s="24"/>
      <c r="H45" s="28">
        <f>O19*0.014</f>
        <v>75.327</v>
      </c>
      <c r="I45" s="22"/>
      <c r="J45" s="22"/>
      <c r="K45" s="29"/>
    </row>
    <row r="46" spans="1:11" ht="12.75">
      <c r="A46" s="24"/>
      <c r="B46" s="24"/>
      <c r="C46" s="24"/>
      <c r="D46" s="24"/>
      <c r="E46" s="24"/>
      <c r="F46" s="24"/>
      <c r="G46" s="24"/>
      <c r="H46" s="28"/>
      <c r="I46" s="22"/>
      <c r="J46" s="22"/>
      <c r="K46" s="29"/>
    </row>
    <row r="47" spans="1:11" ht="15.75">
      <c r="A47" s="86" t="s">
        <v>148</v>
      </c>
      <c r="B47" s="86"/>
      <c r="C47" s="86"/>
      <c r="D47" s="86"/>
      <c r="E47" s="86"/>
      <c r="F47" s="86"/>
      <c r="G47" s="86"/>
      <c r="H47" s="87"/>
      <c r="I47" s="88"/>
      <c r="J47" s="88">
        <v>9460.05</v>
      </c>
      <c r="K47" s="89">
        <f>H49+H50+H51+H52+H53</f>
        <v>11810.405707070706</v>
      </c>
    </row>
    <row r="48" spans="1:11" ht="12.75">
      <c r="A48" s="24"/>
      <c r="B48" s="24" t="s">
        <v>64</v>
      </c>
      <c r="C48" s="24"/>
      <c r="D48" s="24"/>
      <c r="E48" s="24"/>
      <c r="F48" s="24"/>
      <c r="G48" s="24"/>
      <c r="H48" s="28"/>
      <c r="I48" s="22"/>
      <c r="J48" s="22"/>
      <c r="K48" s="29"/>
    </row>
    <row r="49" spans="1:13" ht="12.75">
      <c r="A49" s="113" t="s">
        <v>336</v>
      </c>
      <c r="B49" s="113"/>
      <c r="C49" s="113"/>
      <c r="D49" s="113"/>
      <c r="E49" s="113"/>
      <c r="F49" s="113"/>
      <c r="G49" s="24"/>
      <c r="H49" s="28">
        <f>O19*2.07</f>
        <v>11137.634999999998</v>
      </c>
      <c r="I49" s="22"/>
      <c r="J49" s="22"/>
      <c r="K49" s="29"/>
      <c r="M49" s="65">
        <v>18024</v>
      </c>
    </row>
    <row r="50" spans="1:11" ht="12.75">
      <c r="A50" s="113" t="s">
        <v>337</v>
      </c>
      <c r="B50" s="113"/>
      <c r="C50" s="113"/>
      <c r="D50" s="113"/>
      <c r="E50" s="113"/>
      <c r="F50" s="113"/>
      <c r="G50" s="24"/>
      <c r="H50" s="28">
        <f>1884*2/12</f>
        <v>314</v>
      </c>
      <c r="I50" s="22"/>
      <c r="J50" s="22"/>
      <c r="K50" s="29"/>
    </row>
    <row r="51" spans="1:11" ht="12.75">
      <c r="A51" s="113" t="s">
        <v>338</v>
      </c>
      <c r="B51" s="113"/>
      <c r="C51" s="113"/>
      <c r="D51" s="113"/>
      <c r="E51" s="113"/>
      <c r="F51" s="113"/>
      <c r="G51" s="113"/>
      <c r="H51" s="28">
        <f>1882*2/12</f>
        <v>313.6666666666667</v>
      </c>
      <c r="I51" s="22"/>
      <c r="J51" s="22"/>
      <c r="K51" s="29"/>
    </row>
    <row r="52" spans="1:11" ht="12.75">
      <c r="A52" s="113" t="s">
        <v>339</v>
      </c>
      <c r="B52" s="113"/>
      <c r="C52" s="113"/>
      <c r="D52" s="113"/>
      <c r="E52" s="113"/>
      <c r="F52" s="113"/>
      <c r="G52" s="113"/>
      <c r="H52" s="28">
        <f>56.4*2/2/12</f>
        <v>4.7</v>
      </c>
      <c r="I52" s="22"/>
      <c r="J52" s="22"/>
      <c r="K52" s="29"/>
    </row>
    <row r="53" spans="1:11" ht="12.75">
      <c r="A53" s="24" t="s">
        <v>340</v>
      </c>
      <c r="B53" s="24"/>
      <c r="C53" s="24"/>
      <c r="D53" s="24"/>
      <c r="E53" s="24"/>
      <c r="F53" s="24"/>
      <c r="G53" s="24"/>
      <c r="H53" s="28">
        <f>8000/33*2/12</f>
        <v>40.40404040404041</v>
      </c>
      <c r="I53" s="22"/>
      <c r="J53" s="22"/>
      <c r="K53" s="29"/>
    </row>
    <row r="54" spans="1:11" ht="12.75">
      <c r="A54" s="24"/>
      <c r="B54" s="24"/>
      <c r="C54" s="24"/>
      <c r="D54" s="24"/>
      <c r="E54" s="24"/>
      <c r="F54" s="24"/>
      <c r="G54" s="24"/>
      <c r="H54" s="28"/>
      <c r="I54" s="22"/>
      <c r="J54" s="2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22"/>
      <c r="K55" s="29"/>
    </row>
    <row r="56" spans="1:13" ht="15.75">
      <c r="A56" s="20" t="s">
        <v>111</v>
      </c>
      <c r="B56" s="20"/>
      <c r="C56" s="20"/>
      <c r="D56" s="20"/>
      <c r="E56" s="20"/>
      <c r="F56" s="20"/>
      <c r="G56" s="20"/>
      <c r="H56" s="27"/>
      <c r="I56" s="20"/>
      <c r="J56" s="20"/>
      <c r="K56" s="21">
        <f>H59+H61+H62+H63+H64+H65+H66</f>
        <v>17433.581139845013</v>
      </c>
      <c r="M56" s="71">
        <f>K56/309084*O19</f>
        <v>303.4818474037352</v>
      </c>
    </row>
    <row r="57" spans="1:11" ht="12.75">
      <c r="A57" s="22"/>
      <c r="B57" s="22" t="s">
        <v>64</v>
      </c>
      <c r="C57" s="22"/>
      <c r="D57" s="22"/>
      <c r="E57" s="22"/>
      <c r="F57" s="22"/>
      <c r="G57" s="22"/>
      <c r="H57" s="28"/>
      <c r="I57" s="22"/>
      <c r="J57" s="22"/>
      <c r="K57" s="29"/>
    </row>
    <row r="58" spans="1:11" ht="12.75">
      <c r="A58" s="33" t="s">
        <v>112</v>
      </c>
      <c r="B58" s="33"/>
      <c r="C58" s="33"/>
      <c r="D58" s="33"/>
      <c r="E58" s="33"/>
      <c r="F58" s="33"/>
      <c r="G58" s="33"/>
      <c r="H58" s="34"/>
      <c r="I58" s="33"/>
      <c r="J58" s="33"/>
      <c r="K58" s="35"/>
    </row>
    <row r="59" spans="1:13" ht="12.75">
      <c r="A59" s="111" t="s">
        <v>341</v>
      </c>
      <c r="B59" s="111"/>
      <c r="C59" s="111"/>
      <c r="D59" s="111"/>
      <c r="E59" s="111"/>
      <c r="F59" s="111"/>
      <c r="G59" s="36"/>
      <c r="H59" s="37">
        <f>K292*24.48*165.1*1.5*1.07</f>
        <v>9983.51521834064</v>
      </c>
      <c r="I59" s="38"/>
      <c r="J59" s="38"/>
      <c r="K59" s="35"/>
      <c r="M59" s="69">
        <f>K292</f>
        <v>1.539040189302971</v>
      </c>
    </row>
    <row r="60" spans="1:11" ht="12.75">
      <c r="A60" s="33" t="s">
        <v>114</v>
      </c>
      <c r="B60" s="33"/>
      <c r="C60" s="33"/>
      <c r="D60" s="33"/>
      <c r="E60" s="33"/>
      <c r="F60" s="33"/>
      <c r="G60" s="33"/>
      <c r="H60" s="34"/>
      <c r="I60" s="33"/>
      <c r="J60" s="33"/>
      <c r="K60" s="35"/>
    </row>
    <row r="61" spans="1:11" ht="12.75">
      <c r="A61" s="39">
        <f>H59</f>
        <v>9983.51521834064</v>
      </c>
      <c r="B61" s="36" t="s">
        <v>115</v>
      </c>
      <c r="C61" s="36"/>
      <c r="D61" s="36"/>
      <c r="E61" s="36"/>
      <c r="F61" s="36"/>
      <c r="G61" s="38"/>
      <c r="H61" s="37">
        <f>H59*14.2%</f>
        <v>1417.6591610043708</v>
      </c>
      <c r="I61" s="38"/>
      <c r="J61" s="38"/>
      <c r="K61" s="35"/>
    </row>
    <row r="62" spans="1:11" ht="12.75">
      <c r="A62" s="30" t="s">
        <v>342</v>
      </c>
      <c r="B62" s="30"/>
      <c r="C62" s="30"/>
      <c r="D62" s="30"/>
      <c r="E62" s="30"/>
      <c r="F62" s="40"/>
      <c r="G62" s="40"/>
      <c r="H62" s="37">
        <f>0.04*O19</f>
        <v>215.22</v>
      </c>
      <c r="I62" s="38"/>
      <c r="J62" s="38"/>
      <c r="K62" s="35"/>
    </row>
    <row r="63" spans="1:11" ht="12.75">
      <c r="A63" s="108" t="s">
        <v>343</v>
      </c>
      <c r="B63" s="108"/>
      <c r="C63" s="108"/>
      <c r="D63" s="108"/>
      <c r="E63" s="108"/>
      <c r="F63" s="108"/>
      <c r="G63" s="108"/>
      <c r="H63" s="37">
        <f>0.97*O19</f>
        <v>5219.085</v>
      </c>
      <c r="I63" s="38"/>
      <c r="J63" s="38"/>
      <c r="K63" s="35"/>
    </row>
    <row r="64" spans="1:11" ht="12.75">
      <c r="A64" s="90" t="s">
        <v>344</v>
      </c>
      <c r="B64" s="90"/>
      <c r="C64" s="90"/>
      <c r="D64" s="90"/>
      <c r="E64" s="90"/>
      <c r="F64" s="30"/>
      <c r="G64" s="30"/>
      <c r="H64" s="37">
        <f>0.0037*O19</f>
        <v>19.90785</v>
      </c>
      <c r="I64" s="38"/>
      <c r="J64" s="38"/>
      <c r="K64" s="35"/>
    </row>
    <row r="65" spans="1:12" ht="12.75">
      <c r="A65" s="108" t="s">
        <v>345</v>
      </c>
      <c r="B65" s="108"/>
      <c r="C65" s="108"/>
      <c r="D65" s="108"/>
      <c r="E65" s="108"/>
      <c r="F65" s="108"/>
      <c r="G65" s="108"/>
      <c r="H65" s="37">
        <f>O19*0.082</f>
        <v>441.201</v>
      </c>
      <c r="I65" s="38"/>
      <c r="J65" s="38"/>
      <c r="K65" s="35"/>
      <c r="L65" s="69"/>
    </row>
    <row r="66" spans="1:13" ht="12.75">
      <c r="A66" s="108" t="s">
        <v>346</v>
      </c>
      <c r="B66" s="108"/>
      <c r="C66" s="108"/>
      <c r="D66" s="108"/>
      <c r="E66" s="108"/>
      <c r="F66" s="108"/>
      <c r="G66" s="108"/>
      <c r="H66" s="31">
        <f>O19*0.023*1.107</f>
        <v>136.9929105</v>
      </c>
      <c r="I66" s="33"/>
      <c r="J66" s="33"/>
      <c r="K66" s="35"/>
      <c r="M66" s="65">
        <f>36646.37/309083*O19</f>
        <v>637.9380094828898</v>
      </c>
    </row>
    <row r="67" spans="1:11" ht="12.75">
      <c r="A67" s="30"/>
      <c r="B67" s="30"/>
      <c r="C67" s="30"/>
      <c r="D67" s="30"/>
      <c r="E67" s="30"/>
      <c r="F67" s="30"/>
      <c r="G67" s="30"/>
      <c r="H67" s="31"/>
      <c r="I67" s="33"/>
      <c r="J67" s="33"/>
      <c r="K67" s="35"/>
    </row>
    <row r="68" spans="1:15" ht="15.75">
      <c r="A68" s="110" t="s">
        <v>121</v>
      </c>
      <c r="B68" s="110"/>
      <c r="C68" s="110"/>
      <c r="D68" s="110"/>
      <c r="E68" s="42"/>
      <c r="F68" s="42"/>
      <c r="G68" s="20"/>
      <c r="H68" s="27"/>
      <c r="I68" s="20"/>
      <c r="J68" s="20"/>
      <c r="K68" s="21">
        <f>H70+H71+H72+H73</f>
        <v>4427.61345</v>
      </c>
      <c r="M68" s="72">
        <f>51932.37/301083*O19</f>
        <v>928.0567710066659</v>
      </c>
      <c r="O68" s="65">
        <v>4536.42</v>
      </c>
    </row>
    <row r="69" spans="1:11" ht="12.75">
      <c r="A69" s="111" t="s">
        <v>122</v>
      </c>
      <c r="B69" s="111"/>
      <c r="C69" s="111"/>
      <c r="D69" s="111"/>
      <c r="E69" s="111"/>
      <c r="F69" s="111"/>
      <c r="G69" s="36"/>
      <c r="H69" s="37"/>
      <c r="I69" s="36"/>
      <c r="J69" s="36"/>
      <c r="K69" s="91"/>
    </row>
    <row r="70" spans="1:11" ht="12.75">
      <c r="A70" s="36" t="s">
        <v>347</v>
      </c>
      <c r="B70" s="36"/>
      <c r="C70" s="36"/>
      <c r="D70" s="36"/>
      <c r="E70" s="36"/>
      <c r="F70" s="36"/>
      <c r="G70" s="36"/>
      <c r="H70" s="37">
        <f>0.2227*O19</f>
        <v>1198.23735</v>
      </c>
      <c r="I70" s="36"/>
      <c r="J70" s="36"/>
      <c r="K70" s="91"/>
    </row>
    <row r="71" spans="1:11" ht="12.75">
      <c r="A71" s="30" t="s">
        <v>348</v>
      </c>
      <c r="B71" s="43"/>
      <c r="C71" s="30"/>
      <c r="D71" s="30"/>
      <c r="E71" s="44"/>
      <c r="F71" s="38"/>
      <c r="G71" s="38"/>
      <c r="H71" s="37">
        <f>0.0257*O19</f>
        <v>138.27885</v>
      </c>
      <c r="I71" s="38"/>
      <c r="J71" s="38"/>
      <c r="K71" s="91"/>
    </row>
    <row r="72" spans="1:11" ht="12.75">
      <c r="A72" s="111" t="s">
        <v>349</v>
      </c>
      <c r="B72" s="111"/>
      <c r="C72" s="111"/>
      <c r="D72" s="111"/>
      <c r="E72" s="111"/>
      <c r="F72" s="38"/>
      <c r="G72" s="38"/>
      <c r="H72" s="37">
        <f>0.0945*O19</f>
        <v>508.45725</v>
      </c>
      <c r="I72" s="38"/>
      <c r="J72" s="38"/>
      <c r="K72" s="91"/>
    </row>
    <row r="73" spans="1:11" ht="12.75">
      <c r="A73" s="36" t="s">
        <v>350</v>
      </c>
      <c r="B73" s="36"/>
      <c r="C73" s="36"/>
      <c r="D73" s="36"/>
      <c r="E73" s="36"/>
      <c r="F73" s="38"/>
      <c r="G73" s="38"/>
      <c r="H73" s="37">
        <f>0.48*O19</f>
        <v>2582.64</v>
      </c>
      <c r="I73" s="38"/>
      <c r="J73" s="38"/>
      <c r="K73" s="91"/>
    </row>
    <row r="74" spans="1:11" ht="12.75">
      <c r="A74" s="30"/>
      <c r="B74" s="30"/>
      <c r="C74" s="30"/>
      <c r="D74" s="30"/>
      <c r="E74" s="30"/>
      <c r="F74" s="30"/>
      <c r="G74" s="30"/>
      <c r="H74" s="37"/>
      <c r="I74" s="38"/>
      <c r="J74" s="38"/>
      <c r="K74" s="35"/>
    </row>
    <row r="75" spans="1:13" ht="15.75">
      <c r="A75" s="26" t="s">
        <v>127</v>
      </c>
      <c r="B75" s="26"/>
      <c r="C75" s="26"/>
      <c r="D75" s="26"/>
      <c r="E75" s="26"/>
      <c r="F75" s="26"/>
      <c r="G75" s="26"/>
      <c r="H75" s="46"/>
      <c r="I75" s="20"/>
      <c r="J75" s="20"/>
      <c r="K75" s="21">
        <f>O19*0.944</f>
        <v>5079.192</v>
      </c>
      <c r="M75" s="71">
        <f>231179.9/309083*O19</f>
        <v>4024.3670857018983</v>
      </c>
    </row>
    <row r="76" spans="1:11" ht="15.75">
      <c r="A76" s="47"/>
      <c r="B76" s="47"/>
      <c r="C76" s="112" t="s">
        <v>64</v>
      </c>
      <c r="D76" s="112"/>
      <c r="E76" s="47"/>
      <c r="F76" s="47"/>
      <c r="G76" s="47"/>
      <c r="H76" s="48"/>
      <c r="I76" s="47"/>
      <c r="J76" s="47"/>
      <c r="K76" s="49"/>
    </row>
    <row r="77" spans="1:11" ht="12.75">
      <c r="A77" s="30" t="s">
        <v>128</v>
      </c>
      <c r="B77" s="30"/>
      <c r="C77" s="30"/>
      <c r="D77" s="30"/>
      <c r="E77" s="30"/>
      <c r="F77" s="30"/>
      <c r="G77" s="30"/>
      <c r="H77" s="37"/>
      <c r="I77" s="38"/>
      <c r="J77" s="38"/>
      <c r="K77" s="35"/>
    </row>
    <row r="78" spans="1:11" ht="12.75">
      <c r="A78" s="30" t="s">
        <v>129</v>
      </c>
      <c r="B78" s="43"/>
      <c r="C78" s="30"/>
      <c r="D78" s="30"/>
      <c r="E78" s="30"/>
      <c r="F78" s="44"/>
      <c r="G78" s="44"/>
      <c r="H78" s="37"/>
      <c r="I78" s="38"/>
      <c r="J78" s="38"/>
      <c r="K78" s="35"/>
    </row>
    <row r="79" spans="1:11" ht="12.75">
      <c r="A79" s="108" t="s">
        <v>130</v>
      </c>
      <c r="B79" s="108"/>
      <c r="C79" s="108"/>
      <c r="D79" s="108"/>
      <c r="E79" s="108"/>
      <c r="F79" s="108"/>
      <c r="G79" s="44"/>
      <c r="H79" s="37"/>
      <c r="I79" s="38"/>
      <c r="J79" s="38"/>
      <c r="K79" s="35"/>
    </row>
    <row r="80" spans="1:11" ht="12.75">
      <c r="A80" s="108" t="s">
        <v>131</v>
      </c>
      <c r="B80" s="108"/>
      <c r="C80" s="108"/>
      <c r="D80" s="108"/>
      <c r="E80" s="108"/>
      <c r="F80" s="108"/>
      <c r="G80" s="108"/>
      <c r="H80" s="37"/>
      <c r="I80" s="38"/>
      <c r="J80" s="38"/>
      <c r="K80" s="35"/>
    </row>
    <row r="81" spans="1:11" ht="12.75">
      <c r="A81" s="108" t="s">
        <v>132</v>
      </c>
      <c r="B81" s="108"/>
      <c r="C81" s="108"/>
      <c r="D81" s="108"/>
      <c r="E81" s="109"/>
      <c r="F81" s="109"/>
      <c r="G81" s="109"/>
      <c r="H81" s="37"/>
      <c r="I81" s="38"/>
      <c r="J81" s="38"/>
      <c r="K81" s="35"/>
    </row>
    <row r="82" spans="1:11" ht="12.75">
      <c r="A82" s="108" t="s">
        <v>133</v>
      </c>
      <c r="B82" s="108"/>
      <c r="C82" s="108"/>
      <c r="D82" s="108"/>
      <c r="E82" s="108"/>
      <c r="F82" s="44"/>
      <c r="G82" s="44"/>
      <c r="H82" s="37"/>
      <c r="I82" s="38"/>
      <c r="J82" s="38"/>
      <c r="K82" s="35"/>
    </row>
    <row r="83" spans="1:14" ht="12.75">
      <c r="A83" s="44" t="s">
        <v>134</v>
      </c>
      <c r="B83" s="44"/>
      <c r="C83" s="44"/>
      <c r="D83" s="44"/>
      <c r="E83" s="44"/>
      <c r="F83" s="44"/>
      <c r="G83" s="44"/>
      <c r="H83" s="37"/>
      <c r="I83" s="38"/>
      <c r="J83" s="38"/>
      <c r="K83" s="35"/>
      <c r="N83" s="69">
        <f>K16+K31+K47+K56+K68+K75</f>
        <v>80390.2601545003</v>
      </c>
    </row>
    <row r="84" spans="1:14" ht="12.75">
      <c r="A84" s="22"/>
      <c r="B84" s="22"/>
      <c r="C84" s="22"/>
      <c r="D84" s="22"/>
      <c r="E84" s="22"/>
      <c r="F84" s="22"/>
      <c r="G84" s="22"/>
      <c r="H84" s="28"/>
      <c r="I84" s="22"/>
      <c r="J84" s="22"/>
      <c r="K84" s="29"/>
      <c r="N84" s="65" t="e">
        <f>#REF!*97%</f>
        <v>#REF!</v>
      </c>
    </row>
    <row r="85" spans="1:14" ht="15.75">
      <c r="A85" s="20" t="s">
        <v>135</v>
      </c>
      <c r="B85" s="20"/>
      <c r="C85" s="20"/>
      <c r="D85" s="20"/>
      <c r="E85" s="20"/>
      <c r="F85" s="51"/>
      <c r="G85" s="51"/>
      <c r="H85" s="52"/>
      <c r="I85" s="51"/>
      <c r="J85" s="51"/>
      <c r="K85" s="21">
        <f>0.0205*O19</f>
        <v>110.30025</v>
      </c>
      <c r="L85" s="72" t="e">
        <f>#REF!-(K16+K31+K47+K56+K68+#REF!+#REF!+K75)</f>
        <v>#REF!</v>
      </c>
      <c r="M85" s="72"/>
      <c r="N85" s="65" t="e">
        <f>(#REF!-N83)*0.15</f>
        <v>#REF!</v>
      </c>
    </row>
    <row r="86" spans="1:13" ht="15.75">
      <c r="A86" s="54"/>
      <c r="B86" s="54"/>
      <c r="C86" s="54"/>
      <c r="D86" s="54"/>
      <c r="E86" s="54"/>
      <c r="F86" s="53"/>
      <c r="G86" s="53"/>
      <c r="H86" s="55"/>
      <c r="I86" s="53"/>
      <c r="J86" s="53"/>
      <c r="K86" s="56"/>
      <c r="L86" s="72"/>
      <c r="M86" s="72"/>
    </row>
    <row r="87" spans="1:11" ht="15.75">
      <c r="A87" s="57" t="s">
        <v>136</v>
      </c>
      <c r="B87" s="57"/>
      <c r="C87" s="57"/>
      <c r="D87" s="58"/>
      <c r="E87" s="58"/>
      <c r="F87" s="58"/>
      <c r="G87" s="58"/>
      <c r="H87" s="59"/>
      <c r="I87" s="58"/>
      <c r="J87" s="58"/>
      <c r="K87" s="60">
        <f>K14*6%</f>
        <v>4830.033624270018</v>
      </c>
    </row>
    <row r="88" spans="1:11" ht="15.75">
      <c r="A88" s="57"/>
      <c r="B88" s="57"/>
      <c r="C88" s="57"/>
      <c r="D88" s="58"/>
      <c r="E88" s="58"/>
      <c r="F88" s="58"/>
      <c r="G88" s="58"/>
      <c r="H88" s="59"/>
      <c r="I88" s="58"/>
      <c r="J88" s="58"/>
      <c r="K88" s="60"/>
    </row>
    <row r="89" spans="1:11" ht="15.75">
      <c r="A89" s="63" t="s">
        <v>137</v>
      </c>
      <c r="B89" s="63"/>
      <c r="C89" s="63"/>
      <c r="D89" s="63"/>
      <c r="E89" s="63"/>
      <c r="F89" s="63"/>
      <c r="G89" s="63"/>
      <c r="H89" s="63"/>
      <c r="I89" s="63"/>
      <c r="J89" s="63"/>
      <c r="K89" s="64">
        <f>K87+K14</f>
        <v>85330.59402877031</v>
      </c>
    </row>
    <row r="90" spans="1:11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1:12" ht="15.75">
      <c r="A91" s="63" t="s">
        <v>138</v>
      </c>
      <c r="B91" s="63"/>
      <c r="C91" s="63"/>
      <c r="D91" s="63"/>
      <c r="E91" s="63"/>
      <c r="F91" s="63"/>
      <c r="G91" s="63"/>
      <c r="H91" s="63"/>
      <c r="I91" s="63"/>
      <c r="J91" s="63"/>
      <c r="K91" s="64">
        <f>K89/O19</f>
        <v>15.859231303553631</v>
      </c>
      <c r="L91" s="65" t="s">
        <v>70</v>
      </c>
    </row>
    <row r="92" spans="1:11" ht="15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1" ht="15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4"/>
    </row>
    <row r="94" ht="15.75" customHeight="1"/>
    <row r="95" ht="15.75" customHeight="1"/>
    <row r="96" ht="15.75" customHeight="1"/>
    <row r="97" ht="15.75" customHeight="1"/>
    <row r="98" ht="15.75" customHeight="1"/>
    <row r="104" spans="3:9" s="65" customFormat="1" ht="15.75">
      <c r="C104" s="106" t="s">
        <v>139</v>
      </c>
      <c r="D104" s="107"/>
      <c r="E104" s="107"/>
      <c r="F104" s="107"/>
      <c r="G104" s="107"/>
      <c r="H104" s="107"/>
      <c r="I104" s="107"/>
    </row>
    <row r="105" spans="3:9" s="65" customFormat="1" ht="15.75">
      <c r="C105" s="74" t="s">
        <v>140</v>
      </c>
      <c r="D105" s="74" t="s">
        <v>141</v>
      </c>
      <c r="E105" s="74"/>
      <c r="F105" s="74"/>
      <c r="G105" s="75"/>
      <c r="H105" s="75"/>
      <c r="I105" s="75"/>
    </row>
    <row r="106" s="65" customFormat="1" ht="12.75"/>
    <row r="107" s="65" customFormat="1" ht="12.75">
      <c r="E107" s="65" t="s">
        <v>142</v>
      </c>
    </row>
    <row r="108" spans="5:8" s="65" customFormat="1" ht="12.75">
      <c r="E108" s="65" t="s">
        <v>143</v>
      </c>
      <c r="H108" s="65">
        <v>1200</v>
      </c>
    </row>
    <row r="109" spans="5:8" s="65" customFormat="1" ht="12.75">
      <c r="E109" s="65" t="s">
        <v>144</v>
      </c>
      <c r="H109" s="65">
        <v>1324</v>
      </c>
    </row>
    <row r="110" spans="5:8" s="65" customFormat="1" ht="12.75">
      <c r="E110" s="65" t="s">
        <v>145</v>
      </c>
      <c r="H110" s="65">
        <v>332</v>
      </c>
    </row>
    <row r="111" spans="5:8" s="65" customFormat="1" ht="12.75">
      <c r="E111" s="65" t="s">
        <v>146</v>
      </c>
      <c r="H111" s="65">
        <v>5351.8</v>
      </c>
    </row>
    <row r="112" s="65" customFormat="1" ht="12.75"/>
    <row r="113" spans="1:11" s="65" customFormat="1" ht="15.75">
      <c r="A113" s="105" t="s">
        <v>72</v>
      </c>
      <c r="B113" s="105"/>
      <c r="C113" s="105"/>
      <c r="D113" s="105"/>
      <c r="E113" s="105"/>
      <c r="F113" s="105"/>
      <c r="G113" s="105"/>
      <c r="H113" s="76" t="e">
        <f>H115+H117+H119+H121+H123+H125+H127</f>
        <v>#REF!</v>
      </c>
      <c r="I113" s="77" t="s">
        <v>70</v>
      </c>
      <c r="K113" s="78" t="e">
        <f>H113-20000</f>
        <v>#REF!</v>
      </c>
    </row>
    <row r="114" spans="1:7" s="65" customFormat="1" ht="12.75">
      <c r="A114" s="79"/>
      <c r="B114" s="79"/>
      <c r="C114" s="79"/>
      <c r="D114" s="79"/>
      <c r="E114" s="79"/>
      <c r="F114" s="79"/>
      <c r="G114" s="79"/>
    </row>
    <row r="115" spans="1:8" s="65" customFormat="1" ht="15.75">
      <c r="A115" s="80" t="s">
        <v>147</v>
      </c>
      <c r="B115" s="80"/>
      <c r="C115" s="80"/>
      <c r="D115" s="80"/>
      <c r="E115" s="80"/>
      <c r="F115" s="80"/>
      <c r="G115" s="80"/>
      <c r="H115" s="78">
        <f>K16</f>
        <v>14332.057755681253</v>
      </c>
    </row>
    <row r="116" spans="1:8" s="65" customFormat="1" ht="12.75">
      <c r="A116" s="79"/>
      <c r="B116" s="79"/>
      <c r="C116" s="79"/>
      <c r="D116" s="79"/>
      <c r="E116" s="79"/>
      <c r="F116" s="79"/>
      <c r="G116" s="79"/>
      <c r="H116" s="78"/>
    </row>
    <row r="117" spans="1:8" s="65" customFormat="1" ht="15.75">
      <c r="A117" s="105" t="s">
        <v>95</v>
      </c>
      <c r="B117" s="105"/>
      <c r="C117" s="105"/>
      <c r="D117" s="105"/>
      <c r="E117" s="105"/>
      <c r="F117" s="80"/>
      <c r="G117" s="80"/>
      <c r="H117" s="78">
        <f>K31</f>
        <v>27307.41010190333</v>
      </c>
    </row>
    <row r="118" spans="1:8" s="65" customFormat="1" ht="12.75">
      <c r="A118" s="79"/>
      <c r="B118" s="79"/>
      <c r="C118" s="79"/>
      <c r="D118" s="79"/>
      <c r="E118" s="79"/>
      <c r="F118" s="79"/>
      <c r="G118" s="79"/>
      <c r="H118" s="78"/>
    </row>
    <row r="119" spans="1:8" s="65" customFormat="1" ht="15.75">
      <c r="A119" s="105" t="s">
        <v>148</v>
      </c>
      <c r="B119" s="105"/>
      <c r="C119" s="105"/>
      <c r="D119" s="105"/>
      <c r="E119" s="105"/>
      <c r="F119" s="105"/>
      <c r="G119" s="105"/>
      <c r="H119" s="81" t="e">
        <f>#REF!</f>
        <v>#REF!</v>
      </c>
    </row>
    <row r="120" spans="1:8" s="65" customFormat="1" ht="12.75">
      <c r="A120" s="79"/>
      <c r="B120" s="79"/>
      <c r="C120" s="79"/>
      <c r="D120" s="79"/>
      <c r="E120" s="79"/>
      <c r="F120" s="79"/>
      <c r="G120" s="79"/>
      <c r="H120" s="82"/>
    </row>
    <row r="121" spans="1:8" s="65" customFormat="1" ht="15.75">
      <c r="A121" s="80" t="s">
        <v>111</v>
      </c>
      <c r="B121" s="80"/>
      <c r="C121" s="80"/>
      <c r="D121" s="80"/>
      <c r="E121" s="80"/>
      <c r="F121" s="80"/>
      <c r="G121" s="80"/>
      <c r="H121" s="82">
        <f>M56</f>
        <v>303.4818474037352</v>
      </c>
    </row>
    <row r="122" spans="1:8" s="65" customFormat="1" ht="12.75">
      <c r="A122" s="79"/>
      <c r="B122" s="79"/>
      <c r="C122" s="79"/>
      <c r="D122" s="79"/>
      <c r="E122" s="79"/>
      <c r="F122" s="79"/>
      <c r="G122" s="79"/>
      <c r="H122" s="82"/>
    </row>
    <row r="123" spans="1:8" s="65" customFormat="1" ht="15.75">
      <c r="A123" s="105" t="s">
        <v>149</v>
      </c>
      <c r="B123" s="105"/>
      <c r="C123" s="105"/>
      <c r="D123" s="105"/>
      <c r="E123" s="80"/>
      <c r="F123" s="80"/>
      <c r="G123" s="80"/>
      <c r="H123" s="81">
        <f>M68</f>
        <v>928.0567710066659</v>
      </c>
    </row>
    <row r="124" spans="1:8" s="65" customFormat="1" ht="12.75">
      <c r="A124" s="79"/>
      <c r="B124" s="79"/>
      <c r="C124" s="79"/>
      <c r="D124" s="79"/>
      <c r="E124" s="79"/>
      <c r="F124" s="79"/>
      <c r="G124" s="79"/>
      <c r="H124" s="82"/>
    </row>
    <row r="125" spans="1:8" s="65" customFormat="1" ht="15.75">
      <c r="A125" s="83" t="s">
        <v>127</v>
      </c>
      <c r="B125" s="83"/>
      <c r="C125" s="83"/>
      <c r="D125" s="83"/>
      <c r="E125" s="83"/>
      <c r="F125" s="83"/>
      <c r="G125" s="83"/>
      <c r="H125" s="81">
        <f>M75</f>
        <v>4024.3670857018983</v>
      </c>
    </row>
    <row r="126" spans="1:8" s="65" customFormat="1" ht="12.75">
      <c r="A126" s="79"/>
      <c r="B126" s="79"/>
      <c r="C126" s="79"/>
      <c r="D126" s="79"/>
      <c r="E126" s="79"/>
      <c r="F126" s="79"/>
      <c r="G126" s="79"/>
      <c r="H126" s="82"/>
    </row>
    <row r="127" spans="1:8" s="65" customFormat="1" ht="15.75">
      <c r="A127" s="80" t="s">
        <v>150</v>
      </c>
      <c r="B127" s="80"/>
      <c r="C127" s="80"/>
      <c r="D127" s="80"/>
      <c r="E127" s="80"/>
      <c r="F127" s="84"/>
      <c r="G127" s="84"/>
      <c r="H127" s="81" t="e">
        <f>L85</f>
        <v>#REF!</v>
      </c>
    </row>
    <row r="128" s="65" customFormat="1" ht="12.75"/>
    <row r="129" s="65" customFormat="1" ht="12.75"/>
    <row r="130" s="65" customFormat="1" ht="12.75">
      <c r="H130" s="65" t="s">
        <v>151</v>
      </c>
    </row>
    <row r="131" s="65" customFormat="1" ht="12.75">
      <c r="H131" s="65" t="s">
        <v>146</v>
      </c>
    </row>
    <row r="132" s="65" customFormat="1" ht="12.75">
      <c r="H132" s="65" t="s">
        <v>152</v>
      </c>
    </row>
    <row r="133" s="65" customFormat="1" ht="12.75"/>
    <row r="134" s="65" customFormat="1" ht="12.75"/>
    <row r="135" s="65" customFormat="1" ht="12.75">
      <c r="F135" s="65" t="s">
        <v>153</v>
      </c>
    </row>
    <row r="136" s="65" customFormat="1" ht="12.75">
      <c r="D136" s="65" t="s">
        <v>154</v>
      </c>
    </row>
    <row r="137" s="65" customFormat="1" ht="12.75">
      <c r="D137" s="65" t="s">
        <v>155</v>
      </c>
    </row>
    <row r="138" spans="6:13" s="65" customFormat="1" ht="12.75">
      <c r="F138" s="65" t="s">
        <v>156</v>
      </c>
      <c r="M138" s="65" t="s">
        <v>157</v>
      </c>
    </row>
    <row r="139" s="65" customFormat="1" ht="12.75">
      <c r="M139" s="65" t="s">
        <v>158</v>
      </c>
    </row>
    <row r="140" spans="1:13" s="65" customFormat="1" ht="12.75">
      <c r="A140" s="65" t="s">
        <v>159</v>
      </c>
      <c r="B140" s="65" t="s">
        <v>160</v>
      </c>
      <c r="D140" s="65" t="s">
        <v>161</v>
      </c>
      <c r="F140" s="65" t="s">
        <v>162</v>
      </c>
      <c r="G140" s="65" t="s">
        <v>163</v>
      </c>
      <c r="H140" s="65" t="s">
        <v>164</v>
      </c>
      <c r="J140" s="65" t="s">
        <v>165</v>
      </c>
      <c r="M140" s="73" t="s">
        <v>166</v>
      </c>
    </row>
    <row r="141" spans="1:14" s="65" customFormat="1" ht="12.75">
      <c r="A141" s="65" t="s">
        <v>167</v>
      </c>
      <c r="B141" s="65" t="s">
        <v>168</v>
      </c>
      <c r="D141" s="65" t="s">
        <v>169</v>
      </c>
      <c r="F141" s="65" t="s">
        <v>170</v>
      </c>
      <c r="G141" s="65" t="s">
        <v>171</v>
      </c>
      <c r="H141" s="65" t="s">
        <v>172</v>
      </c>
      <c r="J141" s="65" t="s">
        <v>173</v>
      </c>
      <c r="M141" s="65" t="s">
        <v>174</v>
      </c>
      <c r="N141" s="65">
        <v>5924.2</v>
      </c>
    </row>
    <row r="142" spans="8:9" s="65" customFormat="1" ht="12.75">
      <c r="H142" s="65" t="s">
        <v>175</v>
      </c>
      <c r="I142" s="65" t="s">
        <v>176</v>
      </c>
    </row>
    <row r="143" spans="8:13" s="65" customFormat="1" ht="12.75">
      <c r="H143" s="65" t="s">
        <v>170</v>
      </c>
      <c r="I143" s="65" t="s">
        <v>177</v>
      </c>
      <c r="M143" s="65" t="s">
        <v>178</v>
      </c>
    </row>
    <row r="144" spans="9:13" s="65" customFormat="1" ht="12.75">
      <c r="I144" s="65" t="s">
        <v>179</v>
      </c>
      <c r="M144" s="65" t="s">
        <v>158</v>
      </c>
    </row>
    <row r="145" s="65" customFormat="1" ht="12.75">
      <c r="M145" s="73" t="s">
        <v>166</v>
      </c>
    </row>
    <row r="146" spans="1:14" s="65" customFormat="1" ht="12.75">
      <c r="A146" s="65" t="s">
        <v>180</v>
      </c>
      <c r="B146" s="65" t="s">
        <v>181</v>
      </c>
      <c r="D146" s="65" t="s">
        <v>182</v>
      </c>
      <c r="M146" s="65" t="s">
        <v>174</v>
      </c>
      <c r="N146" s="65">
        <v>546.8</v>
      </c>
    </row>
    <row r="147" spans="2:4" s="65" customFormat="1" ht="12.75">
      <c r="B147" s="65" t="s">
        <v>183</v>
      </c>
      <c r="D147" s="65" t="s">
        <v>184</v>
      </c>
    </row>
    <row r="148" spans="2:13" s="65" customFormat="1" ht="12.75">
      <c r="B148" s="65" t="s">
        <v>185</v>
      </c>
      <c r="D148" s="65" t="s">
        <v>186</v>
      </c>
      <c r="M148" s="65" t="s">
        <v>187</v>
      </c>
    </row>
    <row r="149" spans="2:13" s="65" customFormat="1" ht="12.75">
      <c r="B149" s="65" t="s">
        <v>188</v>
      </c>
      <c r="D149" s="65" t="s">
        <v>189</v>
      </c>
      <c r="M149" s="65" t="s">
        <v>158</v>
      </c>
    </row>
    <row r="150" spans="2:13" s="65" customFormat="1" ht="12.75">
      <c r="B150" s="65" t="s">
        <v>190</v>
      </c>
      <c r="M150" s="73" t="s">
        <v>166</v>
      </c>
    </row>
    <row r="151" spans="4:14" s="65" customFormat="1" ht="12.75">
      <c r="D151" s="65" t="s">
        <v>191</v>
      </c>
      <c r="M151" s="65" t="s">
        <v>174</v>
      </c>
      <c r="N151" s="65">
        <v>929.5</v>
      </c>
    </row>
    <row r="152" spans="4:6" s="65" customFormat="1" ht="12.75">
      <c r="D152" s="65" t="s">
        <v>192</v>
      </c>
      <c r="F152" s="65" t="s">
        <v>193</v>
      </c>
    </row>
    <row r="153" spans="4:13" s="65" customFormat="1" ht="12.75">
      <c r="D153" s="65" t="s">
        <v>158</v>
      </c>
      <c r="F153" s="65" t="s">
        <v>194</v>
      </c>
      <c r="H153" s="65">
        <v>0.0687</v>
      </c>
      <c r="I153" s="65">
        <v>0</v>
      </c>
      <c r="K153" s="65">
        <f>N144/1000*H153</f>
        <v>0</v>
      </c>
      <c r="M153" s="65" t="s">
        <v>195</v>
      </c>
    </row>
    <row r="154" spans="4:13" s="65" customFormat="1" ht="12.75">
      <c r="D154" s="65" t="s">
        <v>196</v>
      </c>
      <c r="F154" s="65" t="s">
        <v>197</v>
      </c>
      <c r="H154" s="65">
        <v>0.0763</v>
      </c>
      <c r="I154" s="65">
        <v>0</v>
      </c>
      <c r="K154" s="65">
        <f>N145/1000*H154</f>
        <v>0</v>
      </c>
      <c r="M154" s="65" t="s">
        <v>158</v>
      </c>
    </row>
    <row r="155" spans="4:13" s="65" customFormat="1" ht="12.75">
      <c r="D155" s="65" t="s">
        <v>198</v>
      </c>
      <c r="F155" s="65" t="s">
        <v>199</v>
      </c>
      <c r="H155" s="65">
        <v>0.0839</v>
      </c>
      <c r="I155" s="65">
        <v>0</v>
      </c>
      <c r="K155" s="69">
        <f>N146/1000*H155</f>
        <v>0.04587652</v>
      </c>
      <c r="M155" s="73" t="s">
        <v>166</v>
      </c>
    </row>
    <row r="156" spans="6:13" s="65" customFormat="1" ht="12.75">
      <c r="F156" s="65" t="s">
        <v>200</v>
      </c>
      <c r="M156" s="65" t="s">
        <v>174</v>
      </c>
    </row>
    <row r="157" s="65" customFormat="1" ht="12.75">
      <c r="F157" s="65" t="s">
        <v>190</v>
      </c>
    </row>
    <row r="158" spans="5:9" s="65" customFormat="1" ht="12.75">
      <c r="E158" s="65" t="s">
        <v>201</v>
      </c>
      <c r="I158" s="65">
        <v>0</v>
      </c>
    </row>
    <row r="159" spans="2:4" s="65" customFormat="1" ht="12.75">
      <c r="B159" s="65" t="s">
        <v>202</v>
      </c>
      <c r="D159" s="65" t="s">
        <v>203</v>
      </c>
    </row>
    <row r="160" s="65" customFormat="1" ht="12.75">
      <c r="D160" s="65" t="s">
        <v>204</v>
      </c>
    </row>
    <row r="161" s="65" customFormat="1" ht="12.75">
      <c r="D161" s="65" t="s">
        <v>205</v>
      </c>
    </row>
    <row r="162" s="65" customFormat="1" ht="12.75">
      <c r="D162" s="65" t="s">
        <v>191</v>
      </c>
    </row>
    <row r="163" spans="4:11" s="65" customFormat="1" ht="12.75">
      <c r="D163" s="65" t="s">
        <v>158</v>
      </c>
      <c r="H163" s="65">
        <v>0.00338</v>
      </c>
      <c r="K163" s="69">
        <f>N167/1000*H163</f>
        <v>0</v>
      </c>
    </row>
    <row r="164" spans="4:11" s="65" customFormat="1" ht="12.75">
      <c r="D164" s="65" t="s">
        <v>196</v>
      </c>
      <c r="H164" s="65">
        <v>0.00376</v>
      </c>
      <c r="K164" s="69">
        <f>N168/1000*H164</f>
        <v>0</v>
      </c>
    </row>
    <row r="165" spans="4:11" s="65" customFormat="1" ht="12.75">
      <c r="D165" s="65" t="s">
        <v>198</v>
      </c>
      <c r="H165" s="65">
        <v>0.00414</v>
      </c>
      <c r="K165" s="69">
        <f>N169/1000*H165</f>
        <v>0.024526187999999997</v>
      </c>
    </row>
    <row r="166" s="65" customFormat="1" ht="12.75">
      <c r="M166" s="65" t="s">
        <v>206</v>
      </c>
    </row>
    <row r="167" spans="1:13" s="65" customFormat="1" ht="12.75">
      <c r="A167" s="65" t="s">
        <v>207</v>
      </c>
      <c r="B167" s="65" t="s">
        <v>208</v>
      </c>
      <c r="D167" s="65" t="s">
        <v>203</v>
      </c>
      <c r="M167" s="65" t="s">
        <v>158</v>
      </c>
    </row>
    <row r="168" spans="4:13" s="65" customFormat="1" ht="12.75">
      <c r="D168" s="65" t="s">
        <v>209</v>
      </c>
      <c r="M168" s="73" t="s">
        <v>166</v>
      </c>
    </row>
    <row r="169" spans="4:14" s="65" customFormat="1" ht="12.75">
      <c r="D169" s="65" t="s">
        <v>191</v>
      </c>
      <c r="M169" s="65" t="s">
        <v>174</v>
      </c>
      <c r="N169" s="65">
        <f>N141</f>
        <v>5924.2</v>
      </c>
    </row>
    <row r="170" spans="4:11" s="65" customFormat="1" ht="12.75">
      <c r="D170" s="65" t="s">
        <v>158</v>
      </c>
      <c r="H170" s="65">
        <v>0.02043</v>
      </c>
      <c r="I170" s="65">
        <v>0</v>
      </c>
      <c r="K170" s="65">
        <f>N154/1000*H170</f>
        <v>0</v>
      </c>
    </row>
    <row r="171" spans="4:13" s="65" customFormat="1" ht="12.75">
      <c r="D171" s="65" t="s">
        <v>196</v>
      </c>
      <c r="H171" s="65">
        <v>0.0227</v>
      </c>
      <c r="I171" s="65">
        <v>0</v>
      </c>
      <c r="K171" s="65">
        <f>N155/1000*H171</f>
        <v>0</v>
      </c>
      <c r="M171" s="65" t="s">
        <v>210</v>
      </c>
    </row>
    <row r="172" spans="4:13" s="65" customFormat="1" ht="12.75">
      <c r="D172" s="65" t="s">
        <v>198</v>
      </c>
      <c r="H172" s="65">
        <v>0.02497</v>
      </c>
      <c r="I172" s="65">
        <v>0</v>
      </c>
      <c r="K172" s="65">
        <f>N156/1000*H172</f>
        <v>0</v>
      </c>
      <c r="M172" s="65" t="s">
        <v>158</v>
      </c>
    </row>
    <row r="173" spans="4:13" s="65" customFormat="1" ht="12.75">
      <c r="D173" s="65" t="s">
        <v>211</v>
      </c>
      <c r="M173" s="73" t="s">
        <v>166</v>
      </c>
    </row>
    <row r="174" spans="4:14" s="65" customFormat="1" ht="12.75">
      <c r="D174" s="65" t="s">
        <v>191</v>
      </c>
      <c r="M174" s="65" t="s">
        <v>174</v>
      </c>
      <c r="N174" s="65">
        <v>138</v>
      </c>
    </row>
    <row r="175" spans="4:6" s="65" customFormat="1" ht="12.75">
      <c r="D175" s="65" t="s">
        <v>192</v>
      </c>
      <c r="F175" s="65" t="s">
        <v>193</v>
      </c>
    </row>
    <row r="176" spans="4:11" s="65" customFormat="1" ht="12.75">
      <c r="D176" s="65" t="s">
        <v>158</v>
      </c>
      <c r="H176" s="65">
        <v>0.00999</v>
      </c>
      <c r="K176" s="69">
        <f>N139/1000*H176</f>
        <v>0</v>
      </c>
    </row>
    <row r="177" spans="4:11" s="65" customFormat="1" ht="12.75">
      <c r="D177" s="65" t="s">
        <v>196</v>
      </c>
      <c r="H177" s="65">
        <v>0.0111</v>
      </c>
      <c r="K177" s="69">
        <f>N140/1000*H177</f>
        <v>0</v>
      </c>
    </row>
    <row r="178" spans="4:11" s="65" customFormat="1" ht="12.75">
      <c r="D178" s="65" t="s">
        <v>198</v>
      </c>
      <c r="H178" s="65">
        <v>0.01221</v>
      </c>
      <c r="I178" s="65">
        <v>0</v>
      </c>
      <c r="K178" s="69">
        <f>N141/1000*H178</f>
        <v>0.072334482</v>
      </c>
    </row>
    <row r="179" s="65" customFormat="1" ht="12.75">
      <c r="I179" s="65">
        <v>0</v>
      </c>
    </row>
    <row r="180" spans="5:9" s="65" customFormat="1" ht="12.75">
      <c r="E180" s="65" t="s">
        <v>201</v>
      </c>
      <c r="G180" s="65">
        <v>0</v>
      </c>
      <c r="I180" s="65">
        <v>0</v>
      </c>
    </row>
    <row r="181" spans="1:6" s="65" customFormat="1" ht="12.75">
      <c r="A181" s="65" t="s">
        <v>212</v>
      </c>
      <c r="B181" s="65" t="s">
        <v>213</v>
      </c>
      <c r="D181" s="65" t="s">
        <v>203</v>
      </c>
      <c r="F181" s="65" t="s">
        <v>193</v>
      </c>
    </row>
    <row r="182" spans="2:6" s="65" customFormat="1" ht="12.75">
      <c r="B182" s="65" t="s">
        <v>214</v>
      </c>
      <c r="D182" s="65" t="s">
        <v>209</v>
      </c>
      <c r="F182" s="65" t="s">
        <v>215</v>
      </c>
    </row>
    <row r="183" spans="4:6" s="65" customFormat="1" ht="12.75">
      <c r="D183" s="65" t="s">
        <v>191</v>
      </c>
      <c r="F183" s="65" t="s">
        <v>216</v>
      </c>
    </row>
    <row r="184" spans="4:11" s="65" customFormat="1" ht="12.75">
      <c r="D184" s="65" t="s">
        <v>158</v>
      </c>
      <c r="H184" s="65">
        <v>0.018432</v>
      </c>
      <c r="I184" s="65">
        <v>0</v>
      </c>
      <c r="K184" s="65">
        <f>N154/1000*H184</f>
        <v>0</v>
      </c>
    </row>
    <row r="185" spans="4:11" s="65" customFormat="1" ht="12.75">
      <c r="D185" s="65" t="s">
        <v>196</v>
      </c>
      <c r="H185" s="65">
        <v>0.02048</v>
      </c>
      <c r="I185" s="65">
        <v>0</v>
      </c>
      <c r="K185" s="65">
        <f>N155/1000*H185</f>
        <v>0</v>
      </c>
    </row>
    <row r="186" spans="4:11" s="65" customFormat="1" ht="12.75">
      <c r="D186" s="65" t="s">
        <v>198</v>
      </c>
      <c r="K186" s="65">
        <f>N156/1000*H186</f>
        <v>0</v>
      </c>
    </row>
    <row r="187" s="65" customFormat="1" ht="12.75">
      <c r="D187" s="65" t="s">
        <v>211</v>
      </c>
    </row>
    <row r="188" s="65" customFormat="1" ht="12.75">
      <c r="D188" s="65" t="s">
        <v>191</v>
      </c>
    </row>
    <row r="189" s="65" customFormat="1" ht="12.75">
      <c r="D189" s="65" t="s">
        <v>192</v>
      </c>
    </row>
    <row r="190" spans="4:11" s="65" customFormat="1" ht="12.75">
      <c r="D190" s="65" t="s">
        <v>158</v>
      </c>
      <c r="K190" s="69">
        <f>N139/1000*H190</f>
        <v>0</v>
      </c>
    </row>
    <row r="191" spans="4:11" s="65" customFormat="1" ht="12.75">
      <c r="D191" s="65" t="s">
        <v>196</v>
      </c>
      <c r="H191" s="65">
        <v>0.02295</v>
      </c>
      <c r="I191" s="65">
        <v>0</v>
      </c>
      <c r="K191" s="69">
        <f>N140/1000*H191</f>
        <v>0</v>
      </c>
    </row>
    <row r="192" spans="4:11" s="65" customFormat="1" ht="12.75">
      <c r="D192" s="65" t="s">
        <v>198</v>
      </c>
      <c r="H192" s="65">
        <v>0.025245</v>
      </c>
      <c r="I192" s="65">
        <v>0</v>
      </c>
      <c r="K192" s="69">
        <f>N141/1000*H192</f>
        <v>0.149556429</v>
      </c>
    </row>
    <row r="193" spans="5:11" s="65" customFormat="1" ht="12.75">
      <c r="E193" s="65" t="s">
        <v>201</v>
      </c>
      <c r="G193" s="65">
        <v>0</v>
      </c>
      <c r="I193" s="65">
        <v>0</v>
      </c>
      <c r="K193" s="69"/>
    </row>
    <row r="194" s="65" customFormat="1" ht="12.75">
      <c r="K194" s="69"/>
    </row>
    <row r="195" spans="1:11" s="65" customFormat="1" ht="12.75">
      <c r="A195" s="65" t="s">
        <v>217</v>
      </c>
      <c r="B195" s="65" t="s">
        <v>218</v>
      </c>
      <c r="D195" s="65" t="s">
        <v>203</v>
      </c>
      <c r="K195" s="69"/>
    </row>
    <row r="196" spans="4:11" s="65" customFormat="1" ht="12.75">
      <c r="D196" s="65" t="s">
        <v>209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158</v>
      </c>
      <c r="H198" s="65">
        <v>0.027585</v>
      </c>
      <c r="I198" s="65">
        <v>0</v>
      </c>
      <c r="K198" s="69">
        <f>N154/1000*H198</f>
        <v>0</v>
      </c>
    </row>
    <row r="199" spans="4:11" s="65" customFormat="1" ht="12.75">
      <c r="D199" s="65" t="s">
        <v>196</v>
      </c>
      <c r="H199" s="65">
        <v>0.3065</v>
      </c>
      <c r="I199" s="65">
        <v>0</v>
      </c>
      <c r="K199" s="69">
        <f>N155/1000*H199</f>
        <v>0</v>
      </c>
    </row>
    <row r="200" spans="4:11" s="65" customFormat="1" ht="12.75">
      <c r="D200" s="65" t="s">
        <v>198</v>
      </c>
      <c r="K200" s="69">
        <f>N156/1000*H200</f>
        <v>0</v>
      </c>
    </row>
    <row r="201" spans="4:11" s="65" customFormat="1" ht="12.75">
      <c r="D201" s="65" t="s">
        <v>211</v>
      </c>
      <c r="K201" s="69"/>
    </row>
    <row r="202" spans="4:11" s="65" customFormat="1" ht="12.75">
      <c r="D202" s="65" t="s">
        <v>191</v>
      </c>
      <c r="K202" s="69"/>
    </row>
    <row r="203" spans="4:11" s="65" customFormat="1" ht="12.75">
      <c r="D203" s="65" t="s">
        <v>192</v>
      </c>
      <c r="K203" s="69"/>
    </row>
    <row r="204" spans="4:11" s="65" customFormat="1" ht="12.75">
      <c r="D204" s="65" t="s">
        <v>158</v>
      </c>
      <c r="K204" s="69">
        <f>N139/1000*H204</f>
        <v>0</v>
      </c>
    </row>
    <row r="205" spans="4:11" s="65" customFormat="1" ht="12.75">
      <c r="D205" s="65" t="s">
        <v>196</v>
      </c>
      <c r="H205" s="65">
        <v>0.00539</v>
      </c>
      <c r="I205" s="65">
        <v>0</v>
      </c>
      <c r="K205" s="69">
        <f>N140/1000*H205</f>
        <v>0</v>
      </c>
    </row>
    <row r="206" spans="4:11" s="65" customFormat="1" ht="12.75">
      <c r="D206" s="65" t="s">
        <v>198</v>
      </c>
      <c r="H206" s="65">
        <v>0.005929</v>
      </c>
      <c r="I206" s="65">
        <v>0</v>
      </c>
      <c r="K206" s="69">
        <f>N141/1000*H206</f>
        <v>0.0351245818</v>
      </c>
    </row>
    <row r="207" spans="5:11" s="65" customFormat="1" ht="12.75">
      <c r="E207" s="65" t="s">
        <v>201</v>
      </c>
      <c r="G207" s="65">
        <v>0</v>
      </c>
      <c r="I207" s="65">
        <v>0</v>
      </c>
      <c r="K207" s="69"/>
    </row>
    <row r="208" s="65" customFormat="1" ht="12.75">
      <c r="K208" s="69"/>
    </row>
    <row r="209" spans="1:11" s="65" customFormat="1" ht="12.75">
      <c r="A209" s="65" t="s">
        <v>219</v>
      </c>
      <c r="B209" s="65" t="s">
        <v>220</v>
      </c>
      <c r="D209" s="65" t="s">
        <v>203</v>
      </c>
      <c r="K209" s="69"/>
    </row>
    <row r="210" spans="2:11" s="65" customFormat="1" ht="12.75">
      <c r="B210" s="65" t="s">
        <v>214</v>
      </c>
      <c r="D210" s="65" t="s">
        <v>209</v>
      </c>
      <c r="K210" s="69"/>
    </row>
    <row r="211" spans="4:11" s="65" customFormat="1" ht="12.75">
      <c r="D211" s="65" t="s">
        <v>191</v>
      </c>
      <c r="K211" s="69"/>
    </row>
    <row r="212" spans="4:11" s="65" customFormat="1" ht="12.75">
      <c r="D212" s="65" t="s">
        <v>158</v>
      </c>
      <c r="H212" s="65">
        <v>0.022437</v>
      </c>
      <c r="I212" s="65">
        <v>0</v>
      </c>
      <c r="K212" s="69">
        <f>N154/1000*H212</f>
        <v>0</v>
      </c>
    </row>
    <row r="213" spans="4:11" s="65" customFormat="1" ht="12.75">
      <c r="D213" s="65" t="s">
        <v>196</v>
      </c>
      <c r="H213" s="65">
        <v>0.02493</v>
      </c>
      <c r="I213" s="65">
        <v>0</v>
      </c>
      <c r="K213" s="69">
        <f>N155/1000*H213</f>
        <v>0</v>
      </c>
    </row>
    <row r="214" spans="4:11" s="65" customFormat="1" ht="12.75">
      <c r="D214" s="65" t="s">
        <v>198</v>
      </c>
      <c r="K214" s="65">
        <f>N156/1000*H214</f>
        <v>0</v>
      </c>
    </row>
    <row r="215" s="65" customFormat="1" ht="12.75">
      <c r="D215" s="65" t="s">
        <v>211</v>
      </c>
    </row>
    <row r="216" s="65" customFormat="1" ht="12.75">
      <c r="D216" s="65" t="s">
        <v>191</v>
      </c>
    </row>
    <row r="217" s="65" customFormat="1" ht="12.75">
      <c r="D217" s="65" t="s">
        <v>192</v>
      </c>
    </row>
    <row r="218" spans="4:11" s="65" customFormat="1" ht="12.75">
      <c r="D218" s="65" t="s">
        <v>158</v>
      </c>
      <c r="K218" s="69">
        <f>N139/1000*H218</f>
        <v>0</v>
      </c>
    </row>
    <row r="219" spans="4:11" s="65" customFormat="1" ht="12.75">
      <c r="D219" s="65" t="s">
        <v>196</v>
      </c>
      <c r="H219" s="65">
        <v>0.00888</v>
      </c>
      <c r="I219" s="65">
        <v>0</v>
      </c>
      <c r="K219" s="69">
        <f>N140/1000*H219</f>
        <v>0</v>
      </c>
    </row>
    <row r="220" spans="4:11" s="65" customFormat="1" ht="12.75">
      <c r="D220" s="65" t="s">
        <v>198</v>
      </c>
      <c r="H220" s="65">
        <v>0.009768</v>
      </c>
      <c r="I220" s="65">
        <v>0</v>
      </c>
      <c r="K220" s="69">
        <f>N141/1000*H220</f>
        <v>0.0578675856</v>
      </c>
    </row>
    <row r="221" spans="5:11" s="65" customFormat="1" ht="12.75">
      <c r="E221" s="65" t="s">
        <v>201</v>
      </c>
      <c r="G221" s="65">
        <v>0</v>
      </c>
      <c r="I221" s="65">
        <v>0</v>
      </c>
      <c r="K221" s="69"/>
    </row>
    <row r="222" s="65" customFormat="1" ht="12.75">
      <c r="K222" s="69"/>
    </row>
    <row r="223" spans="2:4" s="65" customFormat="1" ht="12.75">
      <c r="B223" s="65" t="s">
        <v>221</v>
      </c>
      <c r="D223" s="65" t="s">
        <v>203</v>
      </c>
    </row>
    <row r="224" s="65" customFormat="1" ht="12.75">
      <c r="D224" s="65" t="s">
        <v>204</v>
      </c>
    </row>
    <row r="225" s="65" customFormat="1" ht="12.75">
      <c r="D225" s="65" t="s">
        <v>205</v>
      </c>
    </row>
    <row r="226" s="65" customFormat="1" ht="12.75">
      <c r="D226" s="65" t="s">
        <v>191</v>
      </c>
    </row>
    <row r="227" spans="4:11" s="65" customFormat="1" ht="12.75">
      <c r="D227" s="65" t="s">
        <v>158</v>
      </c>
      <c r="H227" s="65">
        <v>0.0243</v>
      </c>
      <c r="K227" s="69">
        <f>N167/1000*H227</f>
        <v>0</v>
      </c>
    </row>
    <row r="228" spans="4:11" s="65" customFormat="1" ht="12.75">
      <c r="D228" s="65" t="s">
        <v>196</v>
      </c>
      <c r="H228" s="65">
        <v>0.027</v>
      </c>
      <c r="K228" s="69">
        <f>N168/1000*H228</f>
        <v>0</v>
      </c>
    </row>
    <row r="229" spans="4:11" s="65" customFormat="1" ht="12.75">
      <c r="D229" s="65" t="s">
        <v>198</v>
      </c>
      <c r="H229" s="65">
        <v>0.0297</v>
      </c>
      <c r="K229" s="69">
        <f>N169/1000*H229</f>
        <v>0.17594874</v>
      </c>
    </row>
    <row r="230" spans="1:11" s="65" customFormat="1" ht="12.75">
      <c r="A230" s="65" t="s">
        <v>222</v>
      </c>
      <c r="B230" s="65" t="s">
        <v>223</v>
      </c>
      <c r="D230" s="65" t="s">
        <v>203</v>
      </c>
      <c r="K230" s="69"/>
    </row>
    <row r="231" spans="4:11" s="65" customFormat="1" ht="12.75">
      <c r="D231" s="65" t="s">
        <v>209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158</v>
      </c>
      <c r="H233" s="65">
        <v>0.01773</v>
      </c>
      <c r="I233" s="65">
        <v>0</v>
      </c>
      <c r="K233" s="69">
        <f>N154/1000*H233</f>
        <v>0</v>
      </c>
    </row>
    <row r="234" spans="4:11" s="65" customFormat="1" ht="12.75">
      <c r="D234" s="65" t="s">
        <v>196</v>
      </c>
      <c r="H234" s="65">
        <v>0.0197</v>
      </c>
      <c r="I234" s="65">
        <v>0</v>
      </c>
      <c r="K234" s="69">
        <f>N155/1000*H234</f>
        <v>0</v>
      </c>
    </row>
    <row r="235" spans="4:11" s="65" customFormat="1" ht="12.75">
      <c r="D235" s="65" t="s">
        <v>198</v>
      </c>
      <c r="K235" s="69">
        <f>N156/1000*H235</f>
        <v>0</v>
      </c>
    </row>
    <row r="236" spans="4:11" s="65" customFormat="1" ht="12.75">
      <c r="D236" s="65" t="s">
        <v>211</v>
      </c>
      <c r="K236" s="69"/>
    </row>
    <row r="237" spans="4:11" s="65" customFormat="1" ht="12.75">
      <c r="D237" s="65" t="s">
        <v>191</v>
      </c>
      <c r="K237" s="69"/>
    </row>
    <row r="238" spans="4:11" s="65" customFormat="1" ht="12.75">
      <c r="D238" s="65" t="s">
        <v>192</v>
      </c>
      <c r="K238" s="69"/>
    </row>
    <row r="239" spans="4:11" s="65" customFormat="1" ht="12.75">
      <c r="D239" s="65" t="s">
        <v>158</v>
      </c>
      <c r="K239" s="69">
        <f>N139/1000*H239</f>
        <v>0</v>
      </c>
    </row>
    <row r="240" spans="4:11" s="65" customFormat="1" ht="12.75">
      <c r="D240" s="65" t="s">
        <v>196</v>
      </c>
      <c r="H240" s="65">
        <v>0.0018</v>
      </c>
      <c r="I240" s="65">
        <v>0</v>
      </c>
      <c r="K240" s="69">
        <f>N140/1000*H240</f>
        <v>0</v>
      </c>
    </row>
    <row r="241" spans="4:11" s="65" customFormat="1" ht="12.75">
      <c r="D241" s="65" t="s">
        <v>198</v>
      </c>
      <c r="H241" s="65">
        <v>0.00198</v>
      </c>
      <c r="I241" s="65">
        <v>0</v>
      </c>
      <c r="K241" s="69">
        <f>N141/1000*H241</f>
        <v>0.011729916</v>
      </c>
    </row>
    <row r="242" spans="5:11" s="65" customFormat="1" ht="12.75">
      <c r="E242" s="65" t="s">
        <v>201</v>
      </c>
      <c r="G242" s="65">
        <v>0</v>
      </c>
      <c r="I242" s="65">
        <v>0</v>
      </c>
      <c r="K242" s="69"/>
    </row>
    <row r="243" s="65" customFormat="1" ht="12.75">
      <c r="K243" s="69"/>
    </row>
    <row r="244" spans="2:7" s="65" customFormat="1" ht="12.75">
      <c r="B244" s="65" t="s">
        <v>224</v>
      </c>
      <c r="D244" s="65" t="s">
        <v>203</v>
      </c>
      <c r="G244" s="65" t="s">
        <v>225</v>
      </c>
    </row>
    <row r="245" spans="4:7" s="65" customFormat="1" ht="12.75">
      <c r="D245" s="65" t="s">
        <v>204</v>
      </c>
      <c r="G245" s="65" t="s">
        <v>226</v>
      </c>
    </row>
    <row r="246" spans="4:7" s="65" customFormat="1" ht="12.75">
      <c r="D246" s="65" t="s">
        <v>205</v>
      </c>
      <c r="G246" s="65" t="s">
        <v>227</v>
      </c>
    </row>
    <row r="247" s="65" customFormat="1" ht="12.75">
      <c r="D247" s="65" t="s">
        <v>191</v>
      </c>
    </row>
    <row r="248" spans="4:11" s="65" customFormat="1" ht="12.75">
      <c r="D248" s="65" t="s">
        <v>158</v>
      </c>
      <c r="H248" s="65">
        <v>0.02367</v>
      </c>
      <c r="K248" s="69">
        <f>N149/1000*H248</f>
        <v>0</v>
      </c>
    </row>
    <row r="249" spans="4:11" s="65" customFormat="1" ht="12.75">
      <c r="D249" s="65" t="s">
        <v>196</v>
      </c>
      <c r="H249" s="65">
        <v>0.0263</v>
      </c>
      <c r="K249" s="69">
        <f>N150/1000*H249</f>
        <v>0</v>
      </c>
    </row>
    <row r="250" spans="4:11" s="65" customFormat="1" ht="12.75">
      <c r="D250" s="65" t="s">
        <v>198</v>
      </c>
      <c r="H250" s="65">
        <v>0.02893</v>
      </c>
      <c r="K250" s="69">
        <f>N151/1000*H250</f>
        <v>0.026890435</v>
      </c>
    </row>
    <row r="251" s="65" customFormat="1" ht="12.75">
      <c r="K251" s="69"/>
    </row>
    <row r="252" spans="1:11" s="65" customFormat="1" ht="12.75">
      <c r="A252" s="65" t="s">
        <v>228</v>
      </c>
      <c r="B252" s="65" t="s">
        <v>229</v>
      </c>
      <c r="D252" s="65" t="s">
        <v>203</v>
      </c>
      <c r="K252" s="69"/>
    </row>
    <row r="253" spans="2:11" s="65" customFormat="1" ht="12.75">
      <c r="B253" s="65" t="s">
        <v>230</v>
      </c>
      <c r="D253" s="65" t="s">
        <v>209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158</v>
      </c>
      <c r="H255" s="65">
        <v>0.014679</v>
      </c>
      <c r="I255" s="65">
        <v>0</v>
      </c>
      <c r="K255" s="69">
        <f>N154/1000*H255</f>
        <v>0</v>
      </c>
    </row>
    <row r="256" spans="4:11" s="65" customFormat="1" ht="12.75">
      <c r="D256" s="65" t="s">
        <v>196</v>
      </c>
      <c r="H256" s="65">
        <v>0.01631</v>
      </c>
      <c r="I256" s="65">
        <v>0</v>
      </c>
      <c r="K256" s="69">
        <f>N155/1000*H256</f>
        <v>0</v>
      </c>
    </row>
    <row r="257" spans="4:11" s="65" customFormat="1" ht="12.75">
      <c r="D257" s="65" t="s">
        <v>198</v>
      </c>
      <c r="K257" s="69">
        <f>N156/1000*H257</f>
        <v>0</v>
      </c>
    </row>
    <row r="258" spans="4:11" s="65" customFormat="1" ht="12.75">
      <c r="D258" s="65" t="s">
        <v>211</v>
      </c>
      <c r="K258" s="69"/>
    </row>
    <row r="259" spans="4:11" s="65" customFormat="1" ht="12.75">
      <c r="D259" s="65" t="s">
        <v>191</v>
      </c>
      <c r="K259" s="69"/>
    </row>
    <row r="260" spans="4:11" s="65" customFormat="1" ht="12.75">
      <c r="D260" s="65" t="s">
        <v>192</v>
      </c>
      <c r="K260" s="69"/>
    </row>
    <row r="261" spans="4:11" s="65" customFormat="1" ht="12.75">
      <c r="D261" s="65" t="s">
        <v>158</v>
      </c>
      <c r="K261" s="69">
        <f>N139/1000*H261</f>
        <v>0</v>
      </c>
    </row>
    <row r="262" spans="4:11" s="65" customFormat="1" ht="12.75">
      <c r="D262" s="65" t="s">
        <v>196</v>
      </c>
      <c r="H262" s="65">
        <v>0.01631</v>
      </c>
      <c r="I262" s="65">
        <v>0</v>
      </c>
      <c r="K262" s="69">
        <f>N140/1000*H262</f>
        <v>0</v>
      </c>
    </row>
    <row r="263" spans="4:11" s="65" customFormat="1" ht="12.75">
      <c r="D263" s="65" t="s">
        <v>198</v>
      </c>
      <c r="H263" s="65">
        <v>0.017941</v>
      </c>
      <c r="I263" s="65">
        <v>0</v>
      </c>
      <c r="K263" s="69">
        <f>N141/1000*H263</f>
        <v>0.10628607219999998</v>
      </c>
    </row>
    <row r="264" spans="5:11" s="65" customFormat="1" ht="12.75">
      <c r="E264" s="65" t="s">
        <v>201</v>
      </c>
      <c r="G264" s="65">
        <v>0</v>
      </c>
      <c r="I264" s="65">
        <v>0</v>
      </c>
      <c r="K264" s="69"/>
    </row>
    <row r="265" s="65" customFormat="1" ht="12.75">
      <c r="K265" s="69"/>
    </row>
    <row r="266" spans="1:11" s="65" customFormat="1" ht="12.75">
      <c r="A266" s="65" t="s">
        <v>231</v>
      </c>
      <c r="B266" s="65" t="s">
        <v>232</v>
      </c>
      <c r="D266" s="65" t="s">
        <v>203</v>
      </c>
      <c r="K266" s="69"/>
    </row>
    <row r="267" spans="2:11" s="65" customFormat="1" ht="12.75">
      <c r="B267" s="65" t="s">
        <v>233</v>
      </c>
      <c r="D267" s="65" t="s">
        <v>211</v>
      </c>
      <c r="K267" s="69"/>
    </row>
    <row r="268" spans="4:11" s="65" customFormat="1" ht="12.75">
      <c r="D268" s="65" t="s">
        <v>209</v>
      </c>
      <c r="K268" s="69"/>
    </row>
    <row r="269" spans="4:11" s="65" customFormat="1" ht="12.75">
      <c r="D269" s="65" t="s">
        <v>234</v>
      </c>
      <c r="K269" s="69"/>
    </row>
    <row r="270" spans="4:11" s="65" customFormat="1" ht="12.75">
      <c r="D270" s="65" t="s">
        <v>235</v>
      </c>
      <c r="F270" s="65" t="s">
        <v>236</v>
      </c>
      <c r="K270" s="69"/>
    </row>
    <row r="271" spans="4:11" s="65" customFormat="1" ht="12.75">
      <c r="D271" s="65" t="s">
        <v>191</v>
      </c>
      <c r="F271" s="65" t="s">
        <v>237</v>
      </c>
      <c r="K271" s="69"/>
    </row>
    <row r="272" spans="4:11" s="65" customFormat="1" ht="12.75">
      <c r="D272" s="65" t="s">
        <v>158</v>
      </c>
      <c r="H272" s="65">
        <v>41000</v>
      </c>
      <c r="I272" s="65">
        <v>0</v>
      </c>
      <c r="K272" s="69">
        <f>N167/H272</f>
        <v>0</v>
      </c>
    </row>
    <row r="273" spans="4:11" s="65" customFormat="1" ht="12.75">
      <c r="D273" s="65" t="s">
        <v>196</v>
      </c>
      <c r="H273" s="65">
        <v>39000</v>
      </c>
      <c r="I273" s="65">
        <v>0</v>
      </c>
      <c r="K273" s="69">
        <f>N168/H273</f>
        <v>0</v>
      </c>
    </row>
    <row r="274" spans="4:11" s="65" customFormat="1" ht="12.75">
      <c r="D274" s="65" t="s">
        <v>198</v>
      </c>
      <c r="H274" s="65">
        <v>37000</v>
      </c>
      <c r="I274" s="65">
        <v>0</v>
      </c>
      <c r="K274" s="69">
        <f>N169/H274</f>
        <v>0.16011351351351352</v>
      </c>
    </row>
    <row r="275" s="65" customFormat="1" ht="12.75">
      <c r="K275" s="69"/>
    </row>
    <row r="276" spans="4:11" s="65" customFormat="1" ht="12.75">
      <c r="D276" s="65" t="s">
        <v>238</v>
      </c>
      <c r="K276" s="69"/>
    </row>
    <row r="277" spans="4:11" s="65" customFormat="1" ht="12.75">
      <c r="D277" s="65" t="s">
        <v>239</v>
      </c>
      <c r="F277" s="65" t="s">
        <v>240</v>
      </c>
      <c r="K277" s="69"/>
    </row>
    <row r="278" spans="4:11" s="65" customFormat="1" ht="12.75">
      <c r="D278" s="65" t="s">
        <v>191</v>
      </c>
      <c r="K278" s="69"/>
    </row>
    <row r="279" spans="4:11" s="65" customFormat="1" ht="12.75">
      <c r="D279" s="65" t="s">
        <v>158</v>
      </c>
      <c r="H279" s="65">
        <v>450</v>
      </c>
      <c r="I279" s="65">
        <v>0</v>
      </c>
      <c r="K279" s="69">
        <f>N172/H279</f>
        <v>0</v>
      </c>
    </row>
    <row r="280" spans="4:11" s="65" customFormat="1" ht="12.75">
      <c r="D280" s="65" t="s">
        <v>196</v>
      </c>
      <c r="H280" s="65">
        <v>375</v>
      </c>
      <c r="I280" s="65">
        <v>0</v>
      </c>
      <c r="K280" s="69">
        <f>N173/H280</f>
        <v>0</v>
      </c>
    </row>
    <row r="281" spans="4:11" s="65" customFormat="1" ht="12.75">
      <c r="D281" s="65" t="s">
        <v>198</v>
      </c>
      <c r="H281" s="65">
        <v>310</v>
      </c>
      <c r="I281" s="65">
        <v>0</v>
      </c>
      <c r="K281" s="69">
        <f>N174/H281</f>
        <v>0.44516129032258067</v>
      </c>
    </row>
    <row r="282" spans="5:11" s="65" customFormat="1" ht="12.75">
      <c r="E282" s="65" t="s">
        <v>201</v>
      </c>
      <c r="G282" s="65">
        <v>0</v>
      </c>
      <c r="I282" s="65">
        <v>0</v>
      </c>
      <c r="K282" s="69"/>
    </row>
    <row r="283" s="65" customFormat="1" ht="12.75">
      <c r="K283" s="69"/>
    </row>
    <row r="284" spans="1:11" s="65" customFormat="1" ht="12.75">
      <c r="A284" s="65" t="s">
        <v>241</v>
      </c>
      <c r="B284" s="65" t="s">
        <v>242</v>
      </c>
      <c r="D284" s="65" t="s">
        <v>243</v>
      </c>
      <c r="K284" s="69"/>
    </row>
    <row r="285" spans="4:11" s="65" customFormat="1" ht="12.75">
      <c r="D285" s="65" t="s">
        <v>244</v>
      </c>
      <c r="F285" s="65" t="s">
        <v>240</v>
      </c>
      <c r="K285" s="69"/>
    </row>
    <row r="286" spans="4:11" s="65" customFormat="1" ht="12.75">
      <c r="D286" s="65" t="s">
        <v>245</v>
      </c>
      <c r="K286" s="69"/>
    </row>
    <row r="287" spans="4:11" s="65" customFormat="1" ht="12.75">
      <c r="D287" s="65" t="s">
        <v>158</v>
      </c>
      <c r="H287" s="65">
        <v>2350</v>
      </c>
      <c r="I287" s="65">
        <v>0</v>
      </c>
      <c r="K287" s="69">
        <f>N172/H287</f>
        <v>0</v>
      </c>
    </row>
    <row r="288" spans="4:11" s="65" customFormat="1" ht="12.75">
      <c r="D288" s="65" t="s">
        <v>196</v>
      </c>
      <c r="H288" s="65">
        <v>2250</v>
      </c>
      <c r="I288" s="65">
        <v>0</v>
      </c>
      <c r="K288" s="69">
        <f>N173/H288</f>
        <v>0</v>
      </c>
    </row>
    <row r="289" spans="4:11" s="65" customFormat="1" ht="12.75">
      <c r="D289" s="65" t="s">
        <v>198</v>
      </c>
      <c r="H289" s="65">
        <v>2200</v>
      </c>
      <c r="I289" s="65">
        <v>0</v>
      </c>
      <c r="K289" s="69">
        <f>N174/H289</f>
        <v>0.06272727272727273</v>
      </c>
    </row>
    <row r="290" spans="5:11" s="65" customFormat="1" ht="12.75">
      <c r="E290" s="65" t="s">
        <v>201</v>
      </c>
      <c r="G290" s="65">
        <v>0</v>
      </c>
      <c r="I290" s="65">
        <v>0</v>
      </c>
      <c r="K290" s="69"/>
    </row>
    <row r="291" s="65" customFormat="1" ht="12.75">
      <c r="K291" s="69">
        <f>K153+K154+K155+K163+K164+K165+K170+K171+K172+K176+K177+K178+K184+K185+K186+K190+K191+K192+K198+K199+K200+K204+K205+K206+K212+K213+K214+K218+K219+K220+K227+K228+K229+K233+K234+K235+K239+K240+K241+K248+K249+K250+K255+K256+K257+K261+K262+K263+K272+K273+K274+K279+K280+K281+K287+K288+K289</f>
        <v>1.374143026163367</v>
      </c>
    </row>
    <row r="292" spans="1:11" s="65" customFormat="1" ht="12.75">
      <c r="A292" s="65" t="s">
        <v>246</v>
      </c>
      <c r="B292" s="65" t="s">
        <v>247</v>
      </c>
      <c r="F292" s="65" t="s">
        <v>248</v>
      </c>
      <c r="I292" s="65">
        <v>1</v>
      </c>
      <c r="K292" s="69">
        <f>K291*1.12</f>
        <v>1.539040189302971</v>
      </c>
    </row>
    <row r="293" s="65" customFormat="1" ht="12.75">
      <c r="B293" s="65" t="s">
        <v>249</v>
      </c>
    </row>
    <row r="294" s="65" customFormat="1" ht="12.75">
      <c r="B294" s="65" t="s">
        <v>250</v>
      </c>
    </row>
    <row r="295" s="65" customFormat="1" ht="12.75"/>
    <row r="296" spans="1:9" s="65" customFormat="1" ht="12.75">
      <c r="A296" s="65" t="s">
        <v>251</v>
      </c>
      <c r="B296" s="65" t="s">
        <v>252</v>
      </c>
      <c r="I296" s="65">
        <v>2</v>
      </c>
    </row>
    <row r="297" spans="1:9" s="65" customFormat="1" ht="12.75">
      <c r="A297" s="65" t="s">
        <v>253</v>
      </c>
      <c r="B297" s="65" t="s">
        <v>254</v>
      </c>
      <c r="I297" s="65">
        <v>1</v>
      </c>
    </row>
    <row r="298" spans="1:9" s="65" customFormat="1" ht="12.75">
      <c r="A298" s="65" t="s">
        <v>255</v>
      </c>
      <c r="B298" s="65" t="s">
        <v>256</v>
      </c>
      <c r="I298" s="65">
        <v>1</v>
      </c>
    </row>
    <row r="299" spans="2:9" s="65" customFormat="1" ht="12.75">
      <c r="B299" s="65" t="s">
        <v>257</v>
      </c>
      <c r="I299" s="65">
        <v>5</v>
      </c>
    </row>
    <row r="300" s="65" customFormat="1" ht="12.75">
      <c r="F300" s="65" t="s">
        <v>258</v>
      </c>
    </row>
    <row r="301" spans="1:9" s="65" customFormat="1" ht="12.75">
      <c r="A301" s="65" t="s">
        <v>259</v>
      </c>
      <c r="B301" s="65" t="s">
        <v>260</v>
      </c>
      <c r="E301" s="65" t="s">
        <v>261</v>
      </c>
      <c r="G301" s="65">
        <v>1388</v>
      </c>
      <c r="H301" s="65">
        <v>1200</v>
      </c>
      <c r="I301" s="78">
        <f>G301/H301</f>
        <v>1.1566666666666667</v>
      </c>
    </row>
    <row r="302" spans="5:9" s="65" customFormat="1" ht="12.75">
      <c r="E302" s="65" t="s">
        <v>262</v>
      </c>
      <c r="H302" s="65">
        <v>1650</v>
      </c>
      <c r="I302" s="78">
        <f>G302/H302</f>
        <v>0</v>
      </c>
    </row>
    <row r="303" spans="5:9" s="65" customFormat="1" ht="12.75">
      <c r="E303" s="65" t="s">
        <v>263</v>
      </c>
      <c r="G303" s="65">
        <v>3672</v>
      </c>
      <c r="H303" s="65">
        <v>9000</v>
      </c>
      <c r="I303" s="78">
        <f>G303/H303</f>
        <v>0.408</v>
      </c>
    </row>
    <row r="304" spans="3:9" s="65" customFormat="1" ht="12.75">
      <c r="C304" s="65" t="s">
        <v>201</v>
      </c>
      <c r="G304" s="65">
        <f>G301+G303</f>
        <v>5060</v>
      </c>
      <c r="I304" s="78">
        <f>I301+I302+I303</f>
        <v>1.5646666666666667</v>
      </c>
    </row>
    <row r="305" spans="6:9" s="65" customFormat="1" ht="12.75">
      <c r="F305" s="65" t="s">
        <v>258</v>
      </c>
      <c r="I305" s="78"/>
    </row>
    <row r="306" spans="1:9" s="65" customFormat="1" ht="12.75">
      <c r="A306" s="65" t="s">
        <v>264</v>
      </c>
      <c r="B306" s="65" t="s">
        <v>265</v>
      </c>
      <c r="E306" s="65" t="s">
        <v>266</v>
      </c>
      <c r="H306" s="65">
        <v>800</v>
      </c>
      <c r="I306" s="78">
        <f>G306/H306</f>
        <v>0</v>
      </c>
    </row>
    <row r="307" spans="2:9" s="65" customFormat="1" ht="12.75">
      <c r="B307" s="65" t="s">
        <v>267</v>
      </c>
      <c r="E307" s="65" t="s">
        <v>268</v>
      </c>
      <c r="G307" s="65">
        <v>529</v>
      </c>
      <c r="H307" s="65">
        <v>960</v>
      </c>
      <c r="I307" s="78">
        <f>G307/H307</f>
        <v>0.5510416666666667</v>
      </c>
    </row>
    <row r="308" spans="5:9" s="65" customFormat="1" ht="12.75">
      <c r="E308" s="65" t="s">
        <v>269</v>
      </c>
      <c r="I308" s="78"/>
    </row>
    <row r="309" spans="3:9" s="65" customFormat="1" ht="12.75">
      <c r="C309" s="65" t="s">
        <v>201</v>
      </c>
      <c r="G309" s="65">
        <f>G306+G307+G308</f>
        <v>529</v>
      </c>
      <c r="I309" s="78">
        <f>I306+I307</f>
        <v>0.5510416666666667</v>
      </c>
    </row>
    <row r="310" spans="6:9" s="65" customFormat="1" ht="12.75">
      <c r="F310" s="65" t="s">
        <v>270</v>
      </c>
      <c r="I310" s="78"/>
    </row>
    <row r="311" spans="1:9" s="65" customFormat="1" ht="12.75">
      <c r="A311" s="65" t="s">
        <v>271</v>
      </c>
      <c r="B311" s="65" t="s">
        <v>272</v>
      </c>
      <c r="E311" s="65" t="s">
        <v>273</v>
      </c>
      <c r="G311" s="65">
        <v>306</v>
      </c>
      <c r="H311" s="65">
        <v>500</v>
      </c>
      <c r="I311" s="78">
        <f>G311/H311</f>
        <v>0.612</v>
      </c>
    </row>
    <row r="312" spans="5:9" s="65" customFormat="1" ht="12.75">
      <c r="E312" s="65" t="s">
        <v>274</v>
      </c>
      <c r="H312" s="65">
        <v>700</v>
      </c>
      <c r="I312" s="78">
        <f>G312/H312</f>
        <v>0</v>
      </c>
    </row>
    <row r="313" spans="5:9" s="65" customFormat="1" ht="12.75">
      <c r="E313" s="65" t="s">
        <v>275</v>
      </c>
      <c r="I313" s="78"/>
    </row>
    <row r="314" spans="3:9" s="65" customFormat="1" ht="12.75">
      <c r="C314" s="65" t="s">
        <v>201</v>
      </c>
      <c r="G314" s="65">
        <v>0</v>
      </c>
      <c r="I314" s="78">
        <f>I311+I312</f>
        <v>0.612</v>
      </c>
    </row>
    <row r="315" spans="1:2" s="65" customFormat="1" ht="12.75">
      <c r="A315" s="65" t="s">
        <v>276</v>
      </c>
      <c r="B315" s="65" t="s">
        <v>277</v>
      </c>
    </row>
    <row r="316" spans="2:9" s="65" customFormat="1" ht="12.75">
      <c r="B316" s="65" t="s">
        <v>278</v>
      </c>
      <c r="I316" s="65">
        <v>2</v>
      </c>
    </row>
  </sheetData>
  <sheetProtection/>
  <mergeCells count="50">
    <mergeCell ref="A1:K1"/>
    <mergeCell ref="A2:K2"/>
    <mergeCell ref="A4:K5"/>
    <mergeCell ref="A6:K6"/>
    <mergeCell ref="A14:G14"/>
    <mergeCell ref="A18:F18"/>
    <mergeCell ref="A19:F19"/>
    <mergeCell ref="A20:F20"/>
    <mergeCell ref="A24:F24"/>
    <mergeCell ref="A25:G25"/>
    <mergeCell ref="A26:G26"/>
    <mergeCell ref="A27:G27"/>
    <mergeCell ref="A28:G28"/>
    <mergeCell ref="A29:G29"/>
    <mergeCell ref="A31:E31"/>
    <mergeCell ref="A33:G33"/>
    <mergeCell ref="A34:G34"/>
    <mergeCell ref="A35:G35"/>
    <mergeCell ref="A36:G36"/>
    <mergeCell ref="A37:G37"/>
    <mergeCell ref="A38:D38"/>
    <mergeCell ref="A39:G39"/>
    <mergeCell ref="A40:G40"/>
    <mergeCell ref="A41:G41"/>
    <mergeCell ref="A42:G42"/>
    <mergeCell ref="A43:G43"/>
    <mergeCell ref="A44:F44"/>
    <mergeCell ref="A45:F45"/>
    <mergeCell ref="A49:F49"/>
    <mergeCell ref="A50:F50"/>
    <mergeCell ref="A51:G51"/>
    <mergeCell ref="A52:G52"/>
    <mergeCell ref="A59:F59"/>
    <mergeCell ref="A63:G63"/>
    <mergeCell ref="A65:G65"/>
    <mergeCell ref="A66:G66"/>
    <mergeCell ref="A68:D68"/>
    <mergeCell ref="A69:F69"/>
    <mergeCell ref="A72:E72"/>
    <mergeCell ref="C76:D76"/>
    <mergeCell ref="A119:G119"/>
    <mergeCell ref="A123:D123"/>
    <mergeCell ref="C104:I104"/>
    <mergeCell ref="A113:G113"/>
    <mergeCell ref="A117:E117"/>
    <mergeCell ref="A79:F79"/>
    <mergeCell ref="A80:G80"/>
    <mergeCell ref="A81:D81"/>
    <mergeCell ref="E81:G81"/>
    <mergeCell ref="A82:E82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1 N84:N85 L85 H113 K113 H119 H127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313"/>
  <sheetViews>
    <sheetView zoomScalePageLayoutView="0" workbookViewId="0" topLeftCell="A1">
      <selection activeCell="L4" sqref="A4:IV4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57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351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54291.53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K17+K30+K46+K62+K69+K79</f>
        <v>51385.10741813442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H19+H21+H22+H24+H26+H27+H28+H20</f>
        <v>8252.687067344168</v>
      </c>
      <c r="M17" s="65" t="s">
        <v>76</v>
      </c>
      <c r="O17" s="69">
        <f>I301</f>
        <v>0.8898333333333333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I306</f>
        <v>0.72125</v>
      </c>
    </row>
    <row r="19" spans="1:15" ht="12.75">
      <c r="A19" s="113" t="s">
        <v>352</v>
      </c>
      <c r="B19" s="113"/>
      <c r="C19" s="113"/>
      <c r="D19" s="113"/>
      <c r="E19" s="113"/>
      <c r="F19" s="113"/>
      <c r="G19" s="22"/>
      <c r="H19" s="23">
        <f>O17*2600*1.75*1.07</f>
        <v>4332.153583333334</v>
      </c>
      <c r="I19" s="22"/>
      <c r="J19" s="22"/>
      <c r="K19" s="23"/>
      <c r="M19" s="65" t="s">
        <v>80</v>
      </c>
      <c r="O19" s="69"/>
    </row>
    <row r="20" spans="1:15" ht="12.75">
      <c r="A20" s="24" t="s">
        <v>353</v>
      </c>
      <c r="B20" s="24"/>
      <c r="C20" s="24"/>
      <c r="D20" s="24"/>
      <c r="E20" s="24"/>
      <c r="F20" s="24"/>
      <c r="G20" s="22"/>
      <c r="H20" s="23">
        <f>O18*2203*1.3*1.07</f>
        <v>2210.1790262500003</v>
      </c>
      <c r="I20" s="22"/>
      <c r="J20" s="22"/>
      <c r="K20" s="23"/>
      <c r="M20" s="65" t="s">
        <v>82</v>
      </c>
      <c r="O20" s="69">
        <v>5739.6</v>
      </c>
    </row>
    <row r="21" spans="1:15" ht="12.75" hidden="1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83</v>
      </c>
      <c r="O21" s="65">
        <v>300</v>
      </c>
    </row>
    <row r="22" spans="1:16" ht="12.75">
      <c r="A22" s="23">
        <f>H19+H20</f>
        <v>6542.3326095833345</v>
      </c>
      <c r="B22" s="22" t="s">
        <v>84</v>
      </c>
      <c r="C22" s="22"/>
      <c r="D22" s="22"/>
      <c r="E22" s="22"/>
      <c r="F22" s="22"/>
      <c r="G22" s="22"/>
      <c r="H22" s="23">
        <f>A22*0.142</f>
        <v>929.0112305608334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354</v>
      </c>
      <c r="B24" s="113"/>
      <c r="C24" s="113"/>
      <c r="D24" s="113"/>
      <c r="E24" s="113"/>
      <c r="F24" s="113"/>
      <c r="G24" s="22"/>
      <c r="H24" s="23">
        <f>0.057*O20</f>
        <v>327.15720000000005</v>
      </c>
      <c r="I24" s="23"/>
      <c r="J24" s="22"/>
      <c r="K24" s="23"/>
      <c r="N24" s="65">
        <v>10</v>
      </c>
      <c r="P24" s="65">
        <f>O24/2</f>
        <v>0</v>
      </c>
    </row>
    <row r="25" spans="1:11" ht="12.75">
      <c r="A25" s="24" t="s">
        <v>355</v>
      </c>
      <c r="B25" s="24"/>
      <c r="C25" s="24"/>
      <c r="D25" s="24"/>
      <c r="E25" s="24"/>
      <c r="F25" s="24"/>
      <c r="G25" s="22"/>
      <c r="H25" s="23">
        <f>O20*0.0085</f>
        <v>48.78660000000001</v>
      </c>
      <c r="I25" s="23"/>
      <c r="J25" s="22"/>
      <c r="K25" s="23"/>
    </row>
    <row r="26" spans="1:13" ht="12.75">
      <c r="A26" s="113" t="s">
        <v>356</v>
      </c>
      <c r="B26" s="113"/>
      <c r="C26" s="113"/>
      <c r="D26" s="113"/>
      <c r="E26" s="113"/>
      <c r="F26" s="113"/>
      <c r="G26" s="113"/>
      <c r="H26" s="23">
        <f>0.005*O20</f>
        <v>28.698000000000004</v>
      </c>
      <c r="I26" s="22"/>
      <c r="J26" s="22"/>
      <c r="K26" s="23"/>
      <c r="M26" s="65" t="s">
        <v>90</v>
      </c>
    </row>
    <row r="27" spans="1:15" ht="12.75">
      <c r="A27" s="113" t="s">
        <v>357</v>
      </c>
      <c r="B27" s="113"/>
      <c r="C27" s="113"/>
      <c r="D27" s="113"/>
      <c r="E27" s="113"/>
      <c r="F27" s="113"/>
      <c r="G27" s="113"/>
      <c r="H27" s="23">
        <f>O20*0.017</f>
        <v>97.57320000000001</v>
      </c>
      <c r="I27" s="22"/>
      <c r="J27" s="22">
        <v>13606.82</v>
      </c>
      <c r="K27" s="23"/>
      <c r="M27" s="65" t="s">
        <v>92</v>
      </c>
      <c r="O27" s="65">
        <v>48</v>
      </c>
    </row>
    <row r="28" spans="1:15" ht="12.75">
      <c r="A28" s="113" t="s">
        <v>93</v>
      </c>
      <c r="B28" s="113"/>
      <c r="C28" s="113"/>
      <c r="D28" s="113"/>
      <c r="E28" s="113"/>
      <c r="F28" s="113"/>
      <c r="G28" s="113"/>
      <c r="H28" s="23">
        <f>0.054*O20*1.058</f>
        <v>327.9148272</v>
      </c>
      <c r="I28" s="22"/>
      <c r="J28" s="22"/>
      <c r="K28" s="23"/>
      <c r="M28" s="65" t="s">
        <v>94</v>
      </c>
      <c r="O28" s="65">
        <v>1107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H32+H33+H34+H35+H36+H37+H38+H40+H41+H42+H43+K41+H39+H44</f>
        <v>10372.150573333332</v>
      </c>
      <c r="M30" s="65" t="s">
        <v>96</v>
      </c>
      <c r="O30" s="69">
        <f>K289</f>
        <v>1.5970113574698672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3.3333333333333335</v>
      </c>
    </row>
    <row r="32" spans="1:11" ht="12.75">
      <c r="A32" s="113" t="s">
        <v>358</v>
      </c>
      <c r="B32" s="113"/>
      <c r="C32" s="113"/>
      <c r="D32" s="113"/>
      <c r="E32" s="113"/>
      <c r="F32" s="113"/>
      <c r="G32" s="113"/>
      <c r="H32" s="28">
        <f>(O21*1.5)/12*90.3*1.058</f>
        <v>3582.6525</v>
      </c>
      <c r="I32" s="22"/>
      <c r="J32" s="22"/>
      <c r="K32" s="29"/>
    </row>
    <row r="33" spans="1:11" ht="12.75">
      <c r="A33" s="113" t="s">
        <v>359</v>
      </c>
      <c r="B33" s="113"/>
      <c r="C33" s="113"/>
      <c r="D33" s="113"/>
      <c r="E33" s="113"/>
      <c r="F33" s="113"/>
      <c r="G33" s="113"/>
      <c r="H33" s="28">
        <f>O21*1.5*33.1/12*1.058</f>
        <v>1313.2425</v>
      </c>
      <c r="I33" s="22"/>
      <c r="J33" s="22"/>
      <c r="K33" s="29"/>
    </row>
    <row r="34" spans="1:11" ht="12.75">
      <c r="A34" s="113" t="s">
        <v>360</v>
      </c>
      <c r="B34" s="113"/>
      <c r="C34" s="113"/>
      <c r="D34" s="113"/>
      <c r="E34" s="113"/>
      <c r="F34" s="113"/>
      <c r="G34" s="113"/>
      <c r="H34" s="28">
        <f>O28*2.48</f>
        <v>2745.36</v>
      </c>
      <c r="I34" s="22"/>
      <c r="J34" s="22"/>
      <c r="K34" s="29"/>
    </row>
    <row r="35" spans="1:11" ht="12.75">
      <c r="A35" s="113" t="s">
        <v>361</v>
      </c>
      <c r="B35" s="113"/>
      <c r="C35" s="113"/>
      <c r="D35" s="113"/>
      <c r="E35" s="113"/>
      <c r="F35" s="113"/>
      <c r="G35" s="113"/>
      <c r="H35" s="28">
        <f>O20*0.0277</f>
        <v>158.98692</v>
      </c>
      <c r="I35" s="22"/>
      <c r="J35" s="22"/>
      <c r="K35" s="29"/>
    </row>
    <row r="36" spans="1:11" ht="12.75">
      <c r="A36" s="113" t="s">
        <v>362</v>
      </c>
      <c r="B36" s="113"/>
      <c r="C36" s="113"/>
      <c r="D36" s="113"/>
      <c r="E36" s="113"/>
      <c r="F36" s="113"/>
      <c r="G36" s="113"/>
      <c r="H36" s="28">
        <f>O20*0.0027</f>
        <v>15.496920000000001</v>
      </c>
      <c r="I36" s="22"/>
      <c r="J36" s="22"/>
      <c r="K36" s="29"/>
    </row>
    <row r="37" spans="1:11" ht="12.75">
      <c r="A37" s="113" t="s">
        <v>103</v>
      </c>
      <c r="B37" s="113"/>
      <c r="C37" s="113"/>
      <c r="D37" s="113"/>
      <c r="E37" s="113"/>
      <c r="F37" s="113"/>
      <c r="G37" s="113"/>
      <c r="H37" s="28">
        <f>O27*4.81/12</f>
        <v>19.24</v>
      </c>
      <c r="I37" s="22"/>
      <c r="J37" s="22"/>
      <c r="K37" s="29"/>
    </row>
    <row r="38" spans="1:15" ht="12.75">
      <c r="A38" s="113" t="s">
        <v>363</v>
      </c>
      <c r="B38" s="113"/>
      <c r="C38" s="113"/>
      <c r="D38" s="113"/>
      <c r="E38" s="113"/>
      <c r="F38" s="113"/>
      <c r="G38" s="113"/>
      <c r="H38" s="28">
        <f>O38*101.92/12/2</f>
        <v>505.3533333333333</v>
      </c>
      <c r="I38" s="22"/>
      <c r="J38" s="22"/>
      <c r="K38" s="29"/>
      <c r="M38" s="65" t="s">
        <v>364</v>
      </c>
      <c r="O38" s="65">
        <v>119</v>
      </c>
    </row>
    <row r="39" spans="1:11" ht="12.75">
      <c r="A39" s="30" t="s">
        <v>365</v>
      </c>
      <c r="B39" s="30"/>
      <c r="C39" s="30"/>
      <c r="D39" s="30"/>
      <c r="E39" s="30"/>
      <c r="F39" s="30"/>
      <c r="G39" s="30"/>
      <c r="H39" s="31">
        <f>O20*0.216</f>
        <v>1239.7536</v>
      </c>
      <c r="I39" s="22"/>
      <c r="J39" s="22"/>
      <c r="K39" s="29"/>
    </row>
    <row r="40" spans="1:11" ht="12.75">
      <c r="A40" s="113" t="s">
        <v>366</v>
      </c>
      <c r="B40" s="113"/>
      <c r="C40" s="113"/>
      <c r="D40" s="113"/>
      <c r="E40" s="113"/>
      <c r="F40" s="113"/>
      <c r="G40" s="113"/>
      <c r="H40" s="28">
        <f>O20*0.027</f>
        <v>154.9692</v>
      </c>
      <c r="I40" s="22"/>
      <c r="J40" s="32"/>
      <c r="K40" s="29"/>
    </row>
    <row r="41" spans="1:11" ht="12.75">
      <c r="A41" s="113" t="s">
        <v>367</v>
      </c>
      <c r="B41" s="113"/>
      <c r="C41" s="113"/>
      <c r="D41" s="113"/>
      <c r="E41" s="113"/>
      <c r="F41" s="113"/>
      <c r="G41" s="113"/>
      <c r="H41" s="28">
        <f>O20*0.022</f>
        <v>126.27120000000001</v>
      </c>
      <c r="I41" s="22"/>
      <c r="J41" s="22"/>
      <c r="K41" s="29"/>
    </row>
    <row r="42" spans="1:11" ht="12.75">
      <c r="A42" s="113" t="s">
        <v>368</v>
      </c>
      <c r="B42" s="113"/>
      <c r="C42" s="113"/>
      <c r="D42" s="113"/>
      <c r="E42" s="113"/>
      <c r="F42" s="113"/>
      <c r="G42" s="113"/>
      <c r="H42" s="28">
        <f>O20*0.022</f>
        <v>126.27120000000001</v>
      </c>
      <c r="I42" s="22"/>
      <c r="J42" s="22"/>
      <c r="K42" s="29"/>
    </row>
    <row r="43" spans="1:11" ht="12.75">
      <c r="A43" s="113" t="s">
        <v>369</v>
      </c>
      <c r="B43" s="113"/>
      <c r="C43" s="113"/>
      <c r="D43" s="113"/>
      <c r="E43" s="113"/>
      <c r="F43" s="113"/>
      <c r="G43" s="24"/>
      <c r="H43" s="28">
        <f>O20*0.053</f>
        <v>304.1988</v>
      </c>
      <c r="I43" s="22"/>
      <c r="J43" s="22"/>
      <c r="K43" s="29"/>
    </row>
    <row r="44" spans="1:11" ht="12.75">
      <c r="A44" s="113" t="s">
        <v>370</v>
      </c>
      <c r="B44" s="113"/>
      <c r="C44" s="113"/>
      <c r="D44" s="113"/>
      <c r="E44" s="113"/>
      <c r="F44" s="113"/>
      <c r="G44" s="24"/>
      <c r="H44" s="28">
        <f>O20*0.014</f>
        <v>80.35440000000001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3" ht="15.75">
      <c r="A46" s="20" t="s">
        <v>111</v>
      </c>
      <c r="B46" s="20"/>
      <c r="C46" s="20"/>
      <c r="D46" s="20"/>
      <c r="E46" s="20"/>
      <c r="F46" s="20"/>
      <c r="G46" s="20"/>
      <c r="H46" s="27"/>
      <c r="I46" s="20"/>
      <c r="J46" s="20"/>
      <c r="K46" s="21">
        <f>H49+H51+H52+H53+H54+H55+H56+H57+H58+H60</f>
        <v>23098.227137456917</v>
      </c>
      <c r="M46" s="71" t="e">
        <f>K46/309084*#REF!</f>
        <v>#REF!</v>
      </c>
    </row>
    <row r="47" spans="1:11" ht="12.75">
      <c r="A47" s="22"/>
      <c r="B47" s="22" t="s">
        <v>64</v>
      </c>
      <c r="C47" s="22"/>
      <c r="D47" s="22"/>
      <c r="E47" s="22"/>
      <c r="F47" s="22"/>
      <c r="G47" s="22"/>
      <c r="H47" s="28"/>
      <c r="I47" s="22"/>
      <c r="J47" s="22"/>
      <c r="K47" s="29"/>
    </row>
    <row r="48" spans="1:11" ht="12.75">
      <c r="A48" s="33" t="s">
        <v>112</v>
      </c>
      <c r="B48" s="33"/>
      <c r="C48" s="33"/>
      <c r="D48" s="33"/>
      <c r="E48" s="33"/>
      <c r="F48" s="33"/>
      <c r="G48" s="33"/>
      <c r="H48" s="34"/>
      <c r="I48" s="33"/>
      <c r="J48" s="33"/>
      <c r="K48" s="35"/>
    </row>
    <row r="49" spans="1:11" ht="12.75">
      <c r="A49" s="111" t="s">
        <v>371</v>
      </c>
      <c r="B49" s="111"/>
      <c r="C49" s="111"/>
      <c r="D49" s="111"/>
      <c r="E49" s="111"/>
      <c r="F49" s="111"/>
      <c r="G49" s="36"/>
      <c r="H49" s="37">
        <f>K289*24.48*165.1*1.5*1.07</f>
        <v>10359.565203027076</v>
      </c>
      <c r="I49" s="38"/>
      <c r="J49" s="38"/>
      <c r="K49" s="35"/>
    </row>
    <row r="50" spans="1:11" ht="12.75">
      <c r="A50" s="33" t="s">
        <v>114</v>
      </c>
      <c r="B50" s="33"/>
      <c r="C50" s="33"/>
      <c r="D50" s="33"/>
      <c r="E50" s="33"/>
      <c r="F50" s="33"/>
      <c r="G50" s="33"/>
      <c r="H50" s="34"/>
      <c r="I50" s="33"/>
      <c r="J50" s="33"/>
      <c r="K50" s="35"/>
    </row>
    <row r="51" spans="1:11" ht="12.75">
      <c r="A51" s="39">
        <f>H49</f>
        <v>10359.565203027076</v>
      </c>
      <c r="B51" s="36" t="s">
        <v>115</v>
      </c>
      <c r="C51" s="36"/>
      <c r="D51" s="36"/>
      <c r="E51" s="36"/>
      <c r="F51" s="36"/>
      <c r="G51" s="38"/>
      <c r="H51" s="37">
        <f>H49*14.2%</f>
        <v>1471.0582588298446</v>
      </c>
      <c r="I51" s="38"/>
      <c r="J51" s="38"/>
      <c r="K51" s="35"/>
    </row>
    <row r="52" spans="1:11" ht="12.75">
      <c r="A52" s="30" t="s">
        <v>86</v>
      </c>
      <c r="B52" s="30"/>
      <c r="C52" s="30"/>
      <c r="D52" s="30"/>
      <c r="E52" s="30"/>
      <c r="F52" s="40"/>
      <c r="G52" s="40"/>
      <c r="H52" s="37">
        <f>0.04*O20</f>
        <v>229.58400000000003</v>
      </c>
      <c r="I52" s="38"/>
      <c r="J52" s="38"/>
      <c r="K52" s="35"/>
    </row>
    <row r="53" spans="1:11" ht="12.75">
      <c r="A53" s="108" t="s">
        <v>372</v>
      </c>
      <c r="B53" s="108"/>
      <c r="C53" s="108"/>
      <c r="D53" s="108"/>
      <c r="E53" s="108"/>
      <c r="F53" s="108"/>
      <c r="G53" s="108"/>
      <c r="H53" s="37">
        <v>9550</v>
      </c>
      <c r="I53" s="38"/>
      <c r="J53" s="38"/>
      <c r="K53" s="35"/>
    </row>
    <row r="54" spans="1:11" ht="12.75">
      <c r="A54" s="108" t="s">
        <v>373</v>
      </c>
      <c r="B54" s="108"/>
      <c r="C54" s="108"/>
      <c r="D54" s="108"/>
      <c r="E54" s="108"/>
      <c r="F54" s="30"/>
      <c r="G54" s="30"/>
      <c r="H54" s="37">
        <f>0.0037*O20</f>
        <v>21.236520000000002</v>
      </c>
      <c r="I54" s="38"/>
      <c r="J54" s="38"/>
      <c r="K54" s="35"/>
    </row>
    <row r="55" spans="1:12" ht="12.75">
      <c r="A55" s="108" t="s">
        <v>374</v>
      </c>
      <c r="B55" s="108"/>
      <c r="C55" s="108"/>
      <c r="D55" s="108"/>
      <c r="E55" s="108"/>
      <c r="F55" s="108"/>
      <c r="G55" s="108"/>
      <c r="H55" s="37">
        <f>O20*0.082</f>
        <v>470.64720000000005</v>
      </c>
      <c r="I55" s="38"/>
      <c r="J55" s="38"/>
      <c r="K55" s="35"/>
      <c r="L55" s="69"/>
    </row>
    <row r="56" spans="1:13" ht="12.75">
      <c r="A56" s="108" t="s">
        <v>375</v>
      </c>
      <c r="B56" s="108"/>
      <c r="C56" s="108"/>
      <c r="D56" s="108"/>
      <c r="E56" s="108"/>
      <c r="F56" s="108"/>
      <c r="G56" s="108"/>
      <c r="H56" s="31">
        <f>O20*0.023*1.107</f>
        <v>146.13595560000002</v>
      </c>
      <c r="I56" s="33"/>
      <c r="J56" s="33"/>
      <c r="K56" s="35"/>
      <c r="M56" s="65" t="e">
        <f>36646.37/309083*#REF!</f>
        <v>#REF!</v>
      </c>
    </row>
    <row r="57" spans="1:11" ht="12.75">
      <c r="A57" s="41" t="s">
        <v>120</v>
      </c>
      <c r="B57" s="41"/>
      <c r="C57" s="41"/>
      <c r="D57" s="41"/>
      <c r="E57" s="40"/>
      <c r="F57" s="40"/>
      <c r="G57" s="40"/>
      <c r="H57" s="31">
        <v>300</v>
      </c>
      <c r="I57" s="40"/>
      <c r="J57" s="40"/>
      <c r="K57" s="35"/>
    </row>
    <row r="58" spans="1:11" ht="12.75">
      <c r="A58" s="108" t="s">
        <v>376</v>
      </c>
      <c r="B58" s="108"/>
      <c r="C58" s="108"/>
      <c r="D58" s="108"/>
      <c r="E58" s="108"/>
      <c r="F58" s="108"/>
      <c r="G58" s="120"/>
      <c r="H58" s="37">
        <v>300</v>
      </c>
      <c r="I58" s="38"/>
      <c r="J58" s="38"/>
      <c r="K58" s="35"/>
    </row>
    <row r="59" spans="1:11" ht="12.75" customHeight="1" hidden="1">
      <c r="A59" s="38"/>
      <c r="B59" s="38"/>
      <c r="C59" s="38"/>
      <c r="D59" s="40"/>
      <c r="E59" s="40"/>
      <c r="F59" s="40"/>
      <c r="G59" s="40"/>
      <c r="H59" s="121"/>
      <c r="I59" s="40"/>
      <c r="J59" s="40"/>
      <c r="K59" s="122"/>
    </row>
    <row r="60" spans="1:11" ht="12.75">
      <c r="A60" s="38" t="s">
        <v>377</v>
      </c>
      <c r="B60" s="38"/>
      <c r="C60" s="38"/>
      <c r="D60" s="40"/>
      <c r="E60" s="40"/>
      <c r="F60" s="40"/>
      <c r="G60" s="44"/>
      <c r="H60" s="31">
        <v>250</v>
      </c>
      <c r="I60" s="40"/>
      <c r="J60" s="40"/>
      <c r="K60" s="122"/>
    </row>
    <row r="61" spans="1:11" ht="12.75">
      <c r="A61" s="38"/>
      <c r="B61" s="38"/>
      <c r="C61" s="38"/>
      <c r="D61" s="40"/>
      <c r="E61" s="40"/>
      <c r="F61" s="40"/>
      <c r="G61" s="44"/>
      <c r="H61" s="31"/>
      <c r="I61" s="40"/>
      <c r="J61" s="40"/>
      <c r="K61" s="122"/>
    </row>
    <row r="62" spans="1:13" ht="15.75">
      <c r="A62" s="110" t="s">
        <v>121</v>
      </c>
      <c r="B62" s="110"/>
      <c r="C62" s="110"/>
      <c r="D62" s="110"/>
      <c r="E62" s="42"/>
      <c r="F62" s="42"/>
      <c r="G62" s="20"/>
      <c r="H62" s="27"/>
      <c r="I62" s="20"/>
      <c r="J62" s="20"/>
      <c r="K62" s="21">
        <f>H64+H65+H66+H67</f>
        <v>4149.156840000001</v>
      </c>
      <c r="M62" s="72" t="e">
        <f>51932.37/301083*#REF!</f>
        <v>#REF!</v>
      </c>
    </row>
    <row r="63" spans="1:11" ht="12.75">
      <c r="A63" s="111" t="s">
        <v>122</v>
      </c>
      <c r="B63" s="111"/>
      <c r="C63" s="111"/>
      <c r="D63" s="111"/>
      <c r="E63" s="111"/>
      <c r="F63" s="111"/>
      <c r="G63" s="36"/>
      <c r="H63" s="37"/>
      <c r="I63" s="36"/>
      <c r="J63" s="36"/>
      <c r="K63" s="35"/>
    </row>
    <row r="64" spans="1:11" ht="12.75">
      <c r="A64" s="36" t="s">
        <v>378</v>
      </c>
      <c r="B64" s="36"/>
      <c r="C64" s="36"/>
      <c r="D64" s="36"/>
      <c r="E64" s="36"/>
      <c r="F64" s="36"/>
      <c r="G64" s="36"/>
      <c r="H64" s="37">
        <f>0.2227*O20</f>
        <v>1278.20892</v>
      </c>
      <c r="I64" s="36"/>
      <c r="J64" s="36"/>
      <c r="K64" s="35"/>
    </row>
    <row r="65" spans="1:11" ht="12.75">
      <c r="A65" s="30" t="s">
        <v>379</v>
      </c>
      <c r="B65" s="43"/>
      <c r="C65" s="30"/>
      <c r="D65" s="30"/>
      <c r="E65" s="44"/>
      <c r="F65" s="38"/>
      <c r="G65" s="38"/>
      <c r="H65" s="37">
        <f>0.0257*O20</f>
        <v>147.50772</v>
      </c>
      <c r="I65" s="38"/>
      <c r="J65" s="38"/>
      <c r="K65" s="35"/>
    </row>
    <row r="66" spans="1:11" ht="12.75">
      <c r="A66" s="111" t="s">
        <v>380</v>
      </c>
      <c r="B66" s="111"/>
      <c r="C66" s="111"/>
      <c r="D66" s="111"/>
      <c r="E66" s="111"/>
      <c r="F66" s="38"/>
      <c r="G66" s="38"/>
      <c r="H66" s="37">
        <f>0.0945*O20</f>
        <v>542.3922</v>
      </c>
      <c r="I66" s="38"/>
      <c r="J66" s="38"/>
      <c r="K66" s="35"/>
    </row>
    <row r="67" spans="1:11" ht="12.75">
      <c r="A67" s="36" t="s">
        <v>381</v>
      </c>
      <c r="B67" s="36"/>
      <c r="C67" s="36"/>
      <c r="D67" s="36"/>
      <c r="E67" s="36"/>
      <c r="F67" s="38"/>
      <c r="G67" s="38"/>
      <c r="H67" s="37">
        <f>0.38*O20</f>
        <v>2181.0480000000002</v>
      </c>
      <c r="I67" s="38"/>
      <c r="J67" s="38"/>
      <c r="K67" s="45"/>
    </row>
    <row r="68" spans="1:11" ht="12.75">
      <c r="A68" s="30"/>
      <c r="B68" s="30"/>
      <c r="C68" s="30"/>
      <c r="D68" s="30"/>
      <c r="E68" s="38"/>
      <c r="F68" s="38"/>
      <c r="G68" s="38"/>
      <c r="H68" s="37"/>
      <c r="I68" s="38"/>
      <c r="J68" s="38"/>
      <c r="K68" s="35"/>
    </row>
    <row r="69" spans="1:13" ht="15.75">
      <c r="A69" s="26" t="s">
        <v>127</v>
      </c>
      <c r="B69" s="26"/>
      <c r="C69" s="26"/>
      <c r="D69" s="26"/>
      <c r="E69" s="26"/>
      <c r="F69" s="26"/>
      <c r="G69" s="26"/>
      <c r="H69" s="46"/>
      <c r="I69" s="20"/>
      <c r="J69" s="20"/>
      <c r="K69" s="21">
        <f>O20*0.94</f>
        <v>5395.224</v>
      </c>
      <c r="M69" s="71" t="e">
        <f>231179.9/309083*#REF!</f>
        <v>#REF!</v>
      </c>
    </row>
    <row r="70" spans="1:11" ht="15.75">
      <c r="A70" s="47"/>
      <c r="B70" s="47"/>
      <c r="C70" s="112" t="s">
        <v>64</v>
      </c>
      <c r="D70" s="112"/>
      <c r="E70" s="47"/>
      <c r="F70" s="47"/>
      <c r="G70" s="47"/>
      <c r="H70" s="48"/>
      <c r="I70" s="47"/>
      <c r="J70" s="47"/>
      <c r="K70" s="49"/>
    </row>
    <row r="71" spans="1:11" ht="12.75">
      <c r="A71" s="30" t="s">
        <v>128</v>
      </c>
      <c r="B71" s="30"/>
      <c r="C71" s="30"/>
      <c r="D71" s="30"/>
      <c r="E71" s="30"/>
      <c r="F71" s="30"/>
      <c r="G71" s="30"/>
      <c r="H71" s="37"/>
      <c r="I71" s="38"/>
      <c r="J71" s="38"/>
      <c r="K71" s="35"/>
    </row>
    <row r="72" spans="1:11" ht="12.75">
      <c r="A72" s="30" t="s">
        <v>129</v>
      </c>
      <c r="B72" s="43"/>
      <c r="C72" s="30"/>
      <c r="D72" s="30"/>
      <c r="E72" s="30"/>
      <c r="F72" s="44"/>
      <c r="G72" s="44"/>
      <c r="H72" s="37"/>
      <c r="I72" s="38"/>
      <c r="J72" s="38"/>
      <c r="K72" s="35"/>
    </row>
    <row r="73" spans="1:11" ht="12.75">
      <c r="A73" s="108" t="s">
        <v>130</v>
      </c>
      <c r="B73" s="108"/>
      <c r="C73" s="108"/>
      <c r="D73" s="108"/>
      <c r="E73" s="108"/>
      <c r="F73" s="108"/>
      <c r="G73" s="44"/>
      <c r="H73" s="37"/>
      <c r="I73" s="38"/>
      <c r="J73" s="38"/>
      <c r="K73" s="35"/>
    </row>
    <row r="74" spans="1:11" ht="12.75">
      <c r="A74" s="108" t="s">
        <v>131</v>
      </c>
      <c r="B74" s="108"/>
      <c r="C74" s="108"/>
      <c r="D74" s="108"/>
      <c r="E74" s="108"/>
      <c r="F74" s="108"/>
      <c r="G74" s="108"/>
      <c r="H74" s="37"/>
      <c r="I74" s="38"/>
      <c r="J74" s="38"/>
      <c r="K74" s="35"/>
    </row>
    <row r="75" spans="1:11" ht="12.75">
      <c r="A75" s="108" t="s">
        <v>132</v>
      </c>
      <c r="B75" s="108"/>
      <c r="C75" s="108"/>
      <c r="D75" s="108"/>
      <c r="E75" s="109"/>
      <c r="F75" s="109"/>
      <c r="G75" s="109"/>
      <c r="H75" s="37"/>
      <c r="I75" s="38"/>
      <c r="J75" s="38"/>
      <c r="K75" s="35"/>
    </row>
    <row r="76" spans="1:11" ht="12.75">
      <c r="A76" s="108" t="s">
        <v>133</v>
      </c>
      <c r="B76" s="108"/>
      <c r="C76" s="108"/>
      <c r="D76" s="108"/>
      <c r="E76" s="108"/>
      <c r="F76" s="44"/>
      <c r="G76" s="44"/>
      <c r="H76" s="37"/>
      <c r="I76" s="38"/>
      <c r="J76" s="38"/>
      <c r="K76" s="35"/>
    </row>
    <row r="77" spans="1:11" ht="12.75">
      <c r="A77" s="44" t="s">
        <v>134</v>
      </c>
      <c r="B77" s="44"/>
      <c r="C77" s="44"/>
      <c r="D77" s="44"/>
      <c r="E77" s="44"/>
      <c r="F77" s="44"/>
      <c r="G77" s="44"/>
      <c r="H77" s="37"/>
      <c r="I77" s="38"/>
      <c r="J77" s="38"/>
      <c r="K77" s="35"/>
    </row>
    <row r="78" spans="1:11" ht="12.75">
      <c r="A78" s="22"/>
      <c r="B78" s="22"/>
      <c r="C78" s="22"/>
      <c r="D78" s="22"/>
      <c r="E78" s="22"/>
      <c r="F78" s="22"/>
      <c r="G78" s="22"/>
      <c r="H78" s="28"/>
      <c r="I78" s="22"/>
      <c r="J78" s="22"/>
      <c r="K78" s="29"/>
    </row>
    <row r="79" spans="1:13" ht="15.75">
      <c r="A79" s="20" t="s">
        <v>135</v>
      </c>
      <c r="B79" s="20"/>
      <c r="C79" s="20"/>
      <c r="D79" s="20"/>
      <c r="E79" s="20"/>
      <c r="F79" s="51"/>
      <c r="G79" s="51"/>
      <c r="H79" s="52"/>
      <c r="I79" s="51"/>
      <c r="J79" s="51"/>
      <c r="K79" s="21">
        <f>0.0205*O20</f>
        <v>117.66180000000001</v>
      </c>
      <c r="L79" s="72" t="e">
        <f>K79/309084*#REF!</f>
        <v>#REF!</v>
      </c>
      <c r="M79" s="72" t="e">
        <f>L79/309084*#REF!</f>
        <v>#REF!</v>
      </c>
    </row>
    <row r="80" spans="1:13" ht="15.75">
      <c r="A80" s="53"/>
      <c r="B80" s="54"/>
      <c r="C80" s="54"/>
      <c r="D80" s="54"/>
      <c r="E80" s="54"/>
      <c r="F80" s="53"/>
      <c r="G80" s="53"/>
      <c r="H80" s="55"/>
      <c r="I80" s="53"/>
      <c r="J80" s="53"/>
      <c r="K80" s="56"/>
      <c r="L80" s="72"/>
      <c r="M80" s="72"/>
    </row>
    <row r="81" spans="1:11" ht="15.75">
      <c r="A81" s="57" t="s">
        <v>136</v>
      </c>
      <c r="B81" s="57"/>
      <c r="C81" s="57"/>
      <c r="D81" s="58"/>
      <c r="E81" s="58"/>
      <c r="F81" s="58"/>
      <c r="G81" s="58"/>
      <c r="H81" s="59"/>
      <c r="I81" s="58"/>
      <c r="J81" s="58"/>
      <c r="K81" s="60">
        <f>K15*6%</f>
        <v>3083.1064450880654</v>
      </c>
    </row>
    <row r="82" spans="1:11" ht="15">
      <c r="A82" s="58"/>
      <c r="B82" s="61"/>
      <c r="C82" s="61"/>
      <c r="D82" s="61"/>
      <c r="E82" s="61"/>
      <c r="F82" s="61"/>
      <c r="G82" s="61"/>
      <c r="H82" s="62"/>
      <c r="I82" s="58"/>
      <c r="J82" s="58"/>
      <c r="K82" s="58"/>
    </row>
    <row r="83" spans="1:11" ht="15.75">
      <c r="A83" s="63" t="s">
        <v>137</v>
      </c>
      <c r="B83" s="63"/>
      <c r="C83" s="63"/>
      <c r="D83" s="63"/>
      <c r="E83" s="63"/>
      <c r="F83" s="63"/>
      <c r="G83" s="63"/>
      <c r="H83" s="63"/>
      <c r="I83" s="63"/>
      <c r="J83" s="63"/>
      <c r="K83" s="64">
        <f>K81+K15</f>
        <v>54468.21386322249</v>
      </c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 t="s">
        <v>138</v>
      </c>
      <c r="B85" s="63"/>
      <c r="C85" s="63"/>
      <c r="D85" s="63"/>
      <c r="E85" s="63"/>
      <c r="F85" s="63"/>
      <c r="G85" s="63"/>
      <c r="H85" s="63"/>
      <c r="I85" s="63"/>
      <c r="J85" s="63"/>
      <c r="K85" s="64">
        <f>K83/O20</f>
        <v>9.48989718154967</v>
      </c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0" spans="1:11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1:11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4"/>
    </row>
    <row r="92" spans="1:11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1" ht="12.75">
      <c r="A93" s="123"/>
      <c r="B93" s="123"/>
      <c r="C93" s="123"/>
      <c r="D93" s="123"/>
      <c r="E93" s="123"/>
      <c r="F93" s="123"/>
      <c r="G93" s="124"/>
      <c r="H93" s="124"/>
      <c r="I93" s="124"/>
      <c r="J93" s="124"/>
      <c r="K93" s="124"/>
    </row>
    <row r="94" spans="1:11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</row>
    <row r="95" spans="7:11" ht="12.75">
      <c r="G95" s="123"/>
      <c r="H95" s="123"/>
      <c r="I95" s="123"/>
      <c r="J95" s="123"/>
      <c r="K95" s="123"/>
    </row>
    <row r="101" spans="3:9" s="65" customFormat="1" ht="15.75">
      <c r="C101" s="106" t="s">
        <v>139</v>
      </c>
      <c r="D101" s="107"/>
      <c r="E101" s="107"/>
      <c r="F101" s="107"/>
      <c r="G101" s="107"/>
      <c r="H101" s="107"/>
      <c r="I101" s="107"/>
    </row>
    <row r="102" spans="3:9" s="65" customFormat="1" ht="15.75">
      <c r="C102" s="74" t="s">
        <v>140</v>
      </c>
      <c r="D102" s="74" t="s">
        <v>141</v>
      </c>
      <c r="E102" s="74"/>
      <c r="F102" s="74"/>
      <c r="G102" s="75"/>
      <c r="H102" s="75"/>
      <c r="I102" s="75"/>
    </row>
    <row r="103" s="65" customFormat="1" ht="12.75"/>
    <row r="104" spans="5:8" s="65" customFormat="1" ht="12.75">
      <c r="E104" s="65" t="s">
        <v>142</v>
      </c>
      <c r="H104" s="65" t="e">
        <f>#REF!</f>
        <v>#REF!</v>
      </c>
    </row>
    <row r="105" spans="5:8" s="65" customFormat="1" ht="12.75">
      <c r="E105" s="65" t="s">
        <v>143</v>
      </c>
      <c r="H105" s="65" t="e">
        <f>#REF!</f>
        <v>#REF!</v>
      </c>
    </row>
    <row r="106" spans="5:8" s="65" customFormat="1" ht="12.75">
      <c r="E106" s="65" t="s">
        <v>144</v>
      </c>
      <c r="H106" s="65" t="e">
        <f>#REF!</f>
        <v>#REF!</v>
      </c>
    </row>
    <row r="107" spans="5:8" s="65" customFormat="1" ht="12.75">
      <c r="E107" s="65" t="s">
        <v>145</v>
      </c>
      <c r="H107" s="65">
        <f>O21</f>
        <v>300</v>
      </c>
    </row>
    <row r="108" spans="5:8" s="65" customFormat="1" ht="12.75">
      <c r="E108" s="65" t="s">
        <v>146</v>
      </c>
      <c r="H108" s="65" t="e">
        <f>#REF!</f>
        <v>#REF!</v>
      </c>
    </row>
    <row r="109" s="65" customFormat="1" ht="12.75"/>
    <row r="110" spans="1:11" s="65" customFormat="1" ht="15.75">
      <c r="A110" s="105" t="s">
        <v>72</v>
      </c>
      <c r="B110" s="105"/>
      <c r="C110" s="105"/>
      <c r="D110" s="105"/>
      <c r="E110" s="105"/>
      <c r="F110" s="105"/>
      <c r="G110" s="105"/>
      <c r="H110" s="76" t="e">
        <f>H112+H114+H116+H118+H120+H122+H124</f>
        <v>#REF!</v>
      </c>
      <c r="I110" s="77" t="s">
        <v>70</v>
      </c>
      <c r="K110" s="78" t="e">
        <f>H110-20000</f>
        <v>#REF!</v>
      </c>
    </row>
    <row r="111" spans="1:7" s="65" customFormat="1" ht="12.75">
      <c r="A111" s="79"/>
      <c r="B111" s="79"/>
      <c r="C111" s="79"/>
      <c r="D111" s="79"/>
      <c r="E111" s="79"/>
      <c r="F111" s="79"/>
      <c r="G111" s="79"/>
    </row>
    <row r="112" spans="1:8" s="65" customFormat="1" ht="15.75">
      <c r="A112" s="80" t="s">
        <v>147</v>
      </c>
      <c r="B112" s="80"/>
      <c r="C112" s="80"/>
      <c r="D112" s="80"/>
      <c r="E112" s="80"/>
      <c r="F112" s="80"/>
      <c r="G112" s="80"/>
      <c r="H112" s="78">
        <f>K17</f>
        <v>8252.687067344168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78"/>
    </row>
    <row r="114" spans="1:8" s="65" customFormat="1" ht="15.75">
      <c r="A114" s="105" t="s">
        <v>95</v>
      </c>
      <c r="B114" s="105"/>
      <c r="C114" s="105"/>
      <c r="D114" s="105"/>
      <c r="E114" s="105"/>
      <c r="F114" s="80"/>
      <c r="G114" s="80"/>
      <c r="H114" s="78">
        <f>K30</f>
        <v>10372.150573333332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78"/>
    </row>
    <row r="116" spans="1:8" s="65" customFormat="1" ht="15.75">
      <c r="A116" s="105" t="s">
        <v>148</v>
      </c>
      <c r="B116" s="105"/>
      <c r="C116" s="105"/>
      <c r="D116" s="105"/>
      <c r="E116" s="105"/>
      <c r="F116" s="105"/>
      <c r="G116" s="105"/>
      <c r="H116" s="81" t="e">
        <f>#REF!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80" t="s">
        <v>111</v>
      </c>
      <c r="B118" s="80"/>
      <c r="C118" s="80"/>
      <c r="D118" s="80"/>
      <c r="E118" s="80"/>
      <c r="F118" s="80"/>
      <c r="G118" s="80"/>
      <c r="H118" s="82" t="e">
        <f>M46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105" t="s">
        <v>149</v>
      </c>
      <c r="B120" s="105"/>
      <c r="C120" s="105"/>
      <c r="D120" s="105"/>
      <c r="E120" s="80"/>
      <c r="F120" s="80"/>
      <c r="G120" s="80"/>
      <c r="H120" s="81" t="e">
        <f>M62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3" t="s">
        <v>127</v>
      </c>
      <c r="B122" s="83"/>
      <c r="C122" s="83"/>
      <c r="D122" s="83"/>
      <c r="E122" s="83"/>
      <c r="F122" s="83"/>
      <c r="G122" s="83"/>
      <c r="H122" s="81" t="e">
        <f>M69</f>
        <v>#REF!</v>
      </c>
    </row>
    <row r="123" spans="1:8" s="65" customFormat="1" ht="12.75">
      <c r="A123" s="79"/>
      <c r="B123" s="79"/>
      <c r="C123" s="79"/>
      <c r="D123" s="79"/>
      <c r="E123" s="79"/>
      <c r="F123" s="79"/>
      <c r="G123" s="79"/>
      <c r="H123" s="82"/>
    </row>
    <row r="124" spans="1:8" s="65" customFormat="1" ht="15.75">
      <c r="A124" s="80" t="s">
        <v>150</v>
      </c>
      <c r="B124" s="80"/>
      <c r="C124" s="80"/>
      <c r="D124" s="80"/>
      <c r="E124" s="80"/>
      <c r="F124" s="84"/>
      <c r="G124" s="84"/>
      <c r="H124" s="81" t="e">
        <f>L79</f>
        <v>#REF!</v>
      </c>
    </row>
    <row r="125" s="65" customFormat="1" ht="12.75"/>
    <row r="126" s="65" customFormat="1" ht="12.75"/>
    <row r="127" s="65" customFormat="1" ht="12.75">
      <c r="H127" s="65" t="s">
        <v>151</v>
      </c>
    </row>
    <row r="128" s="65" customFormat="1" ht="12.75">
      <c r="H128" s="65" t="s">
        <v>146</v>
      </c>
    </row>
    <row r="129" s="65" customFormat="1" ht="12.75">
      <c r="H129" s="65" t="s">
        <v>152</v>
      </c>
    </row>
    <row r="130" s="65" customFormat="1" ht="12.75"/>
    <row r="131" s="65" customFormat="1" ht="12.75"/>
    <row r="132" s="65" customFormat="1" ht="12.75">
      <c r="F132" s="65" t="s">
        <v>153</v>
      </c>
    </row>
    <row r="133" s="65" customFormat="1" ht="12.75">
      <c r="D133" s="65" t="s">
        <v>154</v>
      </c>
    </row>
    <row r="134" s="65" customFormat="1" ht="12.75">
      <c r="D134" s="65" t="s">
        <v>155</v>
      </c>
    </row>
    <row r="135" spans="6:13" s="65" customFormat="1" ht="12.75">
      <c r="F135" s="65" t="s">
        <v>156</v>
      </c>
      <c r="M135" s="65" t="s">
        <v>157</v>
      </c>
    </row>
    <row r="136" s="65" customFormat="1" ht="12.75">
      <c r="M136" s="65" t="s">
        <v>158</v>
      </c>
    </row>
    <row r="137" spans="1:13" s="65" customFormat="1" ht="12.75">
      <c r="A137" s="65" t="s">
        <v>159</v>
      </c>
      <c r="B137" s="65" t="s">
        <v>160</v>
      </c>
      <c r="D137" s="65" t="s">
        <v>161</v>
      </c>
      <c r="F137" s="65" t="s">
        <v>162</v>
      </c>
      <c r="G137" s="65" t="s">
        <v>163</v>
      </c>
      <c r="H137" s="65" t="s">
        <v>164</v>
      </c>
      <c r="J137" s="65" t="s">
        <v>165</v>
      </c>
      <c r="M137" s="73" t="s">
        <v>166</v>
      </c>
    </row>
    <row r="138" spans="1:14" s="65" customFormat="1" ht="12.75">
      <c r="A138" s="65" t="s">
        <v>167</v>
      </c>
      <c r="B138" s="65" t="s">
        <v>168</v>
      </c>
      <c r="D138" s="65" t="s">
        <v>169</v>
      </c>
      <c r="F138" s="65" t="s">
        <v>170</v>
      </c>
      <c r="G138" s="65" t="s">
        <v>171</v>
      </c>
      <c r="H138" s="65" t="s">
        <v>172</v>
      </c>
      <c r="J138" s="65" t="s">
        <v>173</v>
      </c>
      <c r="M138" s="65" t="s">
        <v>174</v>
      </c>
      <c r="N138" s="65">
        <v>6101.6</v>
      </c>
    </row>
    <row r="139" spans="8:9" s="65" customFormat="1" ht="12.75">
      <c r="H139" s="65" t="s">
        <v>175</v>
      </c>
      <c r="I139" s="65" t="s">
        <v>176</v>
      </c>
    </row>
    <row r="140" spans="8:13" s="65" customFormat="1" ht="12.75">
      <c r="H140" s="65" t="s">
        <v>170</v>
      </c>
      <c r="I140" s="65" t="s">
        <v>177</v>
      </c>
      <c r="M140" s="65" t="s">
        <v>178</v>
      </c>
    </row>
    <row r="141" spans="9:13" s="65" customFormat="1" ht="12.75">
      <c r="I141" s="65" t="s">
        <v>179</v>
      </c>
      <c r="M141" s="65" t="s">
        <v>158</v>
      </c>
    </row>
    <row r="142" s="65" customFormat="1" ht="12.75">
      <c r="M142" s="73" t="s">
        <v>166</v>
      </c>
    </row>
    <row r="143" spans="1:14" s="65" customFormat="1" ht="12.75">
      <c r="A143" s="65" t="s">
        <v>180</v>
      </c>
      <c r="B143" s="65" t="s">
        <v>181</v>
      </c>
      <c r="D143" s="65" t="s">
        <v>182</v>
      </c>
      <c r="M143" s="65" t="s">
        <v>174</v>
      </c>
      <c r="N143" s="65">
        <v>1594.7</v>
      </c>
    </row>
    <row r="144" spans="2:4" s="65" customFormat="1" ht="12.75">
      <c r="B144" s="65" t="s">
        <v>183</v>
      </c>
      <c r="D144" s="65" t="s">
        <v>184</v>
      </c>
    </row>
    <row r="145" spans="2:13" s="65" customFormat="1" ht="12.75">
      <c r="B145" s="65" t="s">
        <v>185</v>
      </c>
      <c r="D145" s="65" t="s">
        <v>186</v>
      </c>
      <c r="M145" s="65" t="s">
        <v>187</v>
      </c>
    </row>
    <row r="146" spans="2:13" s="65" customFormat="1" ht="12.75">
      <c r="B146" s="65" t="s">
        <v>188</v>
      </c>
      <c r="D146" s="65" t="s">
        <v>189</v>
      </c>
      <c r="M146" s="65" t="s">
        <v>158</v>
      </c>
    </row>
    <row r="147" spans="2:13" s="65" customFormat="1" ht="12.75">
      <c r="B147" s="65" t="s">
        <v>190</v>
      </c>
      <c r="M147" s="73" t="s">
        <v>166</v>
      </c>
    </row>
    <row r="148" spans="4:14" s="65" customFormat="1" ht="12.75">
      <c r="D148" s="65" t="s">
        <v>191</v>
      </c>
      <c r="M148" s="65" t="s">
        <v>174</v>
      </c>
      <c r="N148" s="65">
        <v>1275.4</v>
      </c>
    </row>
    <row r="149" spans="4:6" s="65" customFormat="1" ht="12.75">
      <c r="D149" s="65" t="s">
        <v>192</v>
      </c>
      <c r="F149" s="65" t="s">
        <v>193</v>
      </c>
    </row>
    <row r="150" spans="4:13" s="65" customFormat="1" ht="12.75">
      <c r="D150" s="65" t="s">
        <v>158</v>
      </c>
      <c r="F150" s="65" t="s">
        <v>194</v>
      </c>
      <c r="H150" s="65">
        <v>0.0687</v>
      </c>
      <c r="I150" s="65">
        <v>0</v>
      </c>
      <c r="K150" s="65">
        <f>N141/1000*H150</f>
        <v>0</v>
      </c>
      <c r="M150" s="65" t="s">
        <v>195</v>
      </c>
    </row>
    <row r="151" spans="4:13" s="65" customFormat="1" ht="12.75">
      <c r="D151" s="65" t="s">
        <v>196</v>
      </c>
      <c r="F151" s="65" t="s">
        <v>197</v>
      </c>
      <c r="H151" s="65">
        <v>0.0763</v>
      </c>
      <c r="I151" s="65">
        <v>0</v>
      </c>
      <c r="K151" s="65">
        <f>N142/1000*H151</f>
        <v>0</v>
      </c>
      <c r="M151" s="65" t="s">
        <v>158</v>
      </c>
    </row>
    <row r="152" spans="4:13" s="65" customFormat="1" ht="12.75">
      <c r="D152" s="65" t="s">
        <v>198</v>
      </c>
      <c r="F152" s="65" t="s">
        <v>199</v>
      </c>
      <c r="H152" s="65">
        <v>0.0839</v>
      </c>
      <c r="I152" s="65">
        <v>0</v>
      </c>
      <c r="K152" s="69">
        <f>N143/1000*H152</f>
        <v>0.13379533000000002</v>
      </c>
      <c r="M152" s="73" t="s">
        <v>166</v>
      </c>
    </row>
    <row r="153" spans="6:13" s="65" customFormat="1" ht="12.75">
      <c r="F153" s="65" t="s">
        <v>200</v>
      </c>
      <c r="M153" s="65" t="s">
        <v>174</v>
      </c>
    </row>
    <row r="154" s="65" customFormat="1" ht="12.75">
      <c r="F154" s="65" t="s">
        <v>190</v>
      </c>
    </row>
    <row r="155" spans="5:9" s="65" customFormat="1" ht="12.75">
      <c r="E155" s="65" t="s">
        <v>201</v>
      </c>
      <c r="I155" s="65">
        <v>0</v>
      </c>
    </row>
    <row r="156" spans="2:4" s="65" customFormat="1" ht="12.75">
      <c r="B156" s="65" t="s">
        <v>202</v>
      </c>
      <c r="D156" s="65" t="s">
        <v>203</v>
      </c>
    </row>
    <row r="157" s="65" customFormat="1" ht="12.75">
      <c r="D157" s="65" t="s">
        <v>204</v>
      </c>
    </row>
    <row r="158" s="65" customFormat="1" ht="12.75">
      <c r="D158" s="65" t="s">
        <v>205</v>
      </c>
    </row>
    <row r="159" s="65" customFormat="1" ht="12.75">
      <c r="D159" s="65" t="s">
        <v>191</v>
      </c>
    </row>
    <row r="160" spans="4:11" s="65" customFormat="1" ht="12.75">
      <c r="D160" s="65" t="s">
        <v>158</v>
      </c>
      <c r="H160" s="65">
        <v>0.00338</v>
      </c>
      <c r="K160" s="69">
        <f>N164/1000*H160</f>
        <v>0</v>
      </c>
    </row>
    <row r="161" spans="4:11" s="65" customFormat="1" ht="12.75">
      <c r="D161" s="65" t="s">
        <v>196</v>
      </c>
      <c r="H161" s="65">
        <v>0.00376</v>
      </c>
      <c r="K161" s="69">
        <f>N165/1000*H161</f>
        <v>0</v>
      </c>
    </row>
    <row r="162" spans="4:11" s="65" customFormat="1" ht="12.75">
      <c r="D162" s="65" t="s">
        <v>198</v>
      </c>
      <c r="H162" s="65">
        <v>0.00414</v>
      </c>
      <c r="K162" s="69">
        <f>N166/1000*H162</f>
        <v>0.025260624</v>
      </c>
    </row>
    <row r="163" s="65" customFormat="1" ht="12.75">
      <c r="M163" s="65" t="s">
        <v>206</v>
      </c>
    </row>
    <row r="164" spans="1:13" s="65" customFormat="1" ht="12.75">
      <c r="A164" s="65" t="s">
        <v>207</v>
      </c>
      <c r="B164" s="65" t="s">
        <v>208</v>
      </c>
      <c r="D164" s="65" t="s">
        <v>203</v>
      </c>
      <c r="M164" s="65" t="s">
        <v>158</v>
      </c>
    </row>
    <row r="165" spans="4:13" s="65" customFormat="1" ht="12.75">
      <c r="D165" s="65" t="s">
        <v>209</v>
      </c>
      <c r="M165" s="73" t="s">
        <v>166</v>
      </c>
    </row>
    <row r="166" spans="4:14" s="65" customFormat="1" ht="12.75">
      <c r="D166" s="65" t="s">
        <v>191</v>
      </c>
      <c r="M166" s="65" t="s">
        <v>174</v>
      </c>
      <c r="N166" s="65">
        <f>N138</f>
        <v>6101.6</v>
      </c>
    </row>
    <row r="167" spans="4:11" s="65" customFormat="1" ht="12.75">
      <c r="D167" s="65" t="s">
        <v>158</v>
      </c>
      <c r="H167" s="65">
        <v>0.02043</v>
      </c>
      <c r="I167" s="65">
        <v>0</v>
      </c>
      <c r="K167" s="65">
        <f>N151/1000*H167</f>
        <v>0</v>
      </c>
    </row>
    <row r="168" spans="4:13" s="65" customFormat="1" ht="12.75">
      <c r="D168" s="65" t="s">
        <v>196</v>
      </c>
      <c r="H168" s="65">
        <v>0.0227</v>
      </c>
      <c r="I168" s="65">
        <v>0</v>
      </c>
      <c r="K168" s="65">
        <f>N152/1000*H168</f>
        <v>0</v>
      </c>
      <c r="M168" s="65" t="s">
        <v>210</v>
      </c>
    </row>
    <row r="169" spans="4:13" s="65" customFormat="1" ht="12.75">
      <c r="D169" s="65" t="s">
        <v>198</v>
      </c>
      <c r="H169" s="65">
        <v>0.02497</v>
      </c>
      <c r="I169" s="65">
        <v>0</v>
      </c>
      <c r="K169" s="65">
        <f>N153/1000*H169</f>
        <v>0</v>
      </c>
      <c r="M169" s="65" t="s">
        <v>158</v>
      </c>
    </row>
    <row r="170" spans="4:13" s="65" customFormat="1" ht="12.75">
      <c r="D170" s="65" t="s">
        <v>211</v>
      </c>
      <c r="M170" s="73" t="s">
        <v>166</v>
      </c>
    </row>
    <row r="171" spans="4:14" s="65" customFormat="1" ht="12.75">
      <c r="D171" s="65" t="s">
        <v>191</v>
      </c>
      <c r="M171" s="65" t="s">
        <v>174</v>
      </c>
      <c r="N171" s="65">
        <v>119</v>
      </c>
    </row>
    <row r="172" spans="4:6" s="65" customFormat="1" ht="12.75">
      <c r="D172" s="65" t="s">
        <v>192</v>
      </c>
      <c r="F172" s="65" t="s">
        <v>193</v>
      </c>
    </row>
    <row r="173" spans="4:11" s="65" customFormat="1" ht="12.75">
      <c r="D173" s="65" t="s">
        <v>158</v>
      </c>
      <c r="H173" s="65">
        <v>0.00999</v>
      </c>
      <c r="K173" s="69">
        <f>N136/1000*H173</f>
        <v>0</v>
      </c>
    </row>
    <row r="174" spans="4:11" s="65" customFormat="1" ht="12.75">
      <c r="D174" s="65" t="s">
        <v>196</v>
      </c>
      <c r="H174" s="65">
        <v>0.0111</v>
      </c>
      <c r="K174" s="69">
        <f>N137/1000*H174</f>
        <v>0</v>
      </c>
    </row>
    <row r="175" spans="4:11" s="65" customFormat="1" ht="12.75">
      <c r="D175" s="65" t="s">
        <v>198</v>
      </c>
      <c r="H175" s="65">
        <v>0.01221</v>
      </c>
      <c r="I175" s="65">
        <v>0</v>
      </c>
      <c r="K175" s="69">
        <f>N138/1000*H175</f>
        <v>0.074500536</v>
      </c>
    </row>
    <row r="176" s="65" customFormat="1" ht="12.75">
      <c r="I176" s="65">
        <v>0</v>
      </c>
    </row>
    <row r="177" spans="5:9" s="65" customFormat="1" ht="12.75">
      <c r="E177" s="65" t="s">
        <v>201</v>
      </c>
      <c r="G177" s="65">
        <v>0</v>
      </c>
      <c r="I177" s="65">
        <v>0</v>
      </c>
    </row>
    <row r="178" spans="1:6" s="65" customFormat="1" ht="12.75">
      <c r="A178" s="65" t="s">
        <v>212</v>
      </c>
      <c r="B178" s="65" t="s">
        <v>213</v>
      </c>
      <c r="D178" s="65" t="s">
        <v>203</v>
      </c>
      <c r="F178" s="65" t="s">
        <v>193</v>
      </c>
    </row>
    <row r="179" spans="2:6" s="65" customFormat="1" ht="12.75">
      <c r="B179" s="65" t="s">
        <v>214</v>
      </c>
      <c r="D179" s="65" t="s">
        <v>209</v>
      </c>
      <c r="F179" s="65" t="s">
        <v>215</v>
      </c>
    </row>
    <row r="180" spans="4:6" s="65" customFormat="1" ht="12.75">
      <c r="D180" s="65" t="s">
        <v>191</v>
      </c>
      <c r="F180" s="65" t="s">
        <v>216</v>
      </c>
    </row>
    <row r="181" spans="4:11" s="65" customFormat="1" ht="12.75">
      <c r="D181" s="65" t="s">
        <v>158</v>
      </c>
      <c r="H181" s="65">
        <v>0.018432</v>
      </c>
      <c r="I181" s="65">
        <v>0</v>
      </c>
      <c r="K181" s="65">
        <f>N151/1000*H181</f>
        <v>0</v>
      </c>
    </row>
    <row r="182" spans="4:11" s="65" customFormat="1" ht="12.75">
      <c r="D182" s="65" t="s">
        <v>196</v>
      </c>
      <c r="H182" s="65">
        <v>0.02048</v>
      </c>
      <c r="I182" s="65">
        <v>0</v>
      </c>
      <c r="K182" s="65">
        <f>N152/1000*H182</f>
        <v>0</v>
      </c>
    </row>
    <row r="183" spans="4:11" s="65" customFormat="1" ht="12.75">
      <c r="D183" s="65" t="s">
        <v>198</v>
      </c>
      <c r="K183" s="65">
        <f>N153/1000*H183</f>
        <v>0</v>
      </c>
    </row>
    <row r="184" s="65" customFormat="1" ht="12.75">
      <c r="D184" s="65" t="s">
        <v>211</v>
      </c>
    </row>
    <row r="185" s="65" customFormat="1" ht="12.75">
      <c r="D185" s="65" t="s">
        <v>191</v>
      </c>
    </row>
    <row r="186" s="65" customFormat="1" ht="12.75">
      <c r="D186" s="65" t="s">
        <v>192</v>
      </c>
    </row>
    <row r="187" spans="4:11" s="65" customFormat="1" ht="12.75">
      <c r="D187" s="65" t="s">
        <v>158</v>
      </c>
      <c r="K187" s="69">
        <f>N136/1000*H187</f>
        <v>0</v>
      </c>
    </row>
    <row r="188" spans="4:11" s="65" customFormat="1" ht="12.75">
      <c r="D188" s="65" t="s">
        <v>196</v>
      </c>
      <c r="H188" s="65">
        <v>0.02295</v>
      </c>
      <c r="I188" s="65">
        <v>0</v>
      </c>
      <c r="K188" s="69">
        <f>N137/1000*H188</f>
        <v>0</v>
      </c>
    </row>
    <row r="189" spans="4:11" s="65" customFormat="1" ht="12.75">
      <c r="D189" s="65" t="s">
        <v>198</v>
      </c>
      <c r="H189" s="65">
        <v>0.025245</v>
      </c>
      <c r="I189" s="65">
        <v>0</v>
      </c>
      <c r="K189" s="69">
        <f>N138/1000*H189</f>
        <v>0.154034892</v>
      </c>
    </row>
    <row r="190" spans="5:11" s="65" customFormat="1" ht="12.75">
      <c r="E190" s="65" t="s">
        <v>201</v>
      </c>
      <c r="G190" s="65">
        <v>0</v>
      </c>
      <c r="I190" s="65">
        <v>0</v>
      </c>
      <c r="K190" s="69"/>
    </row>
    <row r="191" s="65" customFormat="1" ht="12.75">
      <c r="K191" s="69"/>
    </row>
    <row r="192" spans="1:11" s="65" customFormat="1" ht="12.75">
      <c r="A192" s="65" t="s">
        <v>217</v>
      </c>
      <c r="B192" s="65" t="s">
        <v>218</v>
      </c>
      <c r="D192" s="65" t="s">
        <v>203</v>
      </c>
      <c r="K192" s="69"/>
    </row>
    <row r="193" spans="4:11" s="65" customFormat="1" ht="12.75">
      <c r="D193" s="65" t="s">
        <v>209</v>
      </c>
      <c r="K193" s="69"/>
    </row>
    <row r="194" spans="4:11" s="65" customFormat="1" ht="12.75">
      <c r="D194" s="65" t="s">
        <v>191</v>
      </c>
      <c r="K194" s="69"/>
    </row>
    <row r="195" spans="4:11" s="65" customFormat="1" ht="12.75">
      <c r="D195" s="65" t="s">
        <v>158</v>
      </c>
      <c r="H195" s="65">
        <v>0.027585</v>
      </c>
      <c r="I195" s="65">
        <v>0</v>
      </c>
      <c r="K195" s="69">
        <f>N151/1000*H195</f>
        <v>0</v>
      </c>
    </row>
    <row r="196" spans="4:11" s="65" customFormat="1" ht="12.75">
      <c r="D196" s="65" t="s">
        <v>196</v>
      </c>
      <c r="H196" s="65">
        <v>0.3065</v>
      </c>
      <c r="I196" s="65">
        <v>0</v>
      </c>
      <c r="K196" s="69">
        <f>N152/1000*H196</f>
        <v>0</v>
      </c>
    </row>
    <row r="197" spans="4:11" s="65" customFormat="1" ht="12.75">
      <c r="D197" s="65" t="s">
        <v>198</v>
      </c>
      <c r="K197" s="69">
        <f>N153/1000*H197</f>
        <v>0</v>
      </c>
    </row>
    <row r="198" spans="4:11" s="65" customFormat="1" ht="12.75">
      <c r="D198" s="65" t="s">
        <v>211</v>
      </c>
      <c r="K198" s="69"/>
    </row>
    <row r="199" spans="4:11" s="65" customFormat="1" ht="12.75">
      <c r="D199" s="65" t="s">
        <v>191</v>
      </c>
      <c r="K199" s="69"/>
    </row>
    <row r="200" spans="4:11" s="65" customFormat="1" ht="12.75">
      <c r="D200" s="65" t="s">
        <v>192</v>
      </c>
      <c r="K200" s="69"/>
    </row>
    <row r="201" spans="4:11" s="65" customFormat="1" ht="12.75">
      <c r="D201" s="65" t="s">
        <v>158</v>
      </c>
      <c r="K201" s="69">
        <f>N136/1000*H201</f>
        <v>0</v>
      </c>
    </row>
    <row r="202" spans="4:11" s="65" customFormat="1" ht="12.75">
      <c r="D202" s="65" t="s">
        <v>196</v>
      </c>
      <c r="H202" s="65">
        <v>0.00539</v>
      </c>
      <c r="I202" s="65">
        <v>0</v>
      </c>
      <c r="K202" s="69">
        <f>N137/1000*H202</f>
        <v>0</v>
      </c>
    </row>
    <row r="203" spans="4:11" s="65" customFormat="1" ht="12.75">
      <c r="D203" s="65" t="s">
        <v>198</v>
      </c>
      <c r="H203" s="65">
        <v>0.005929</v>
      </c>
      <c r="I203" s="65">
        <v>0</v>
      </c>
      <c r="K203" s="69">
        <f>N138/1000*H203</f>
        <v>0.0361763864</v>
      </c>
    </row>
    <row r="204" spans="5:11" s="65" customFormat="1" ht="12.75">
      <c r="E204" s="65" t="s">
        <v>201</v>
      </c>
      <c r="G204" s="65">
        <v>0</v>
      </c>
      <c r="I204" s="65">
        <v>0</v>
      </c>
      <c r="K204" s="69"/>
    </row>
    <row r="205" s="65" customFormat="1" ht="12.75">
      <c r="K205" s="69"/>
    </row>
    <row r="206" spans="1:11" s="65" customFormat="1" ht="12.75">
      <c r="A206" s="65" t="s">
        <v>219</v>
      </c>
      <c r="B206" s="65" t="s">
        <v>220</v>
      </c>
      <c r="D206" s="65" t="s">
        <v>203</v>
      </c>
      <c r="K206" s="69"/>
    </row>
    <row r="207" spans="2:11" s="65" customFormat="1" ht="12.75">
      <c r="B207" s="65" t="s">
        <v>214</v>
      </c>
      <c r="D207" s="65" t="s">
        <v>209</v>
      </c>
      <c r="K207" s="69"/>
    </row>
    <row r="208" spans="4:11" s="65" customFormat="1" ht="12.75">
      <c r="D208" s="65" t="s">
        <v>191</v>
      </c>
      <c r="K208" s="69"/>
    </row>
    <row r="209" spans="4:11" s="65" customFormat="1" ht="12.75">
      <c r="D209" s="65" t="s">
        <v>158</v>
      </c>
      <c r="H209" s="65">
        <v>0.022437</v>
      </c>
      <c r="I209" s="65">
        <v>0</v>
      </c>
      <c r="K209" s="69">
        <f>N151/1000*H209</f>
        <v>0</v>
      </c>
    </row>
    <row r="210" spans="4:11" s="65" customFormat="1" ht="12.75">
      <c r="D210" s="65" t="s">
        <v>196</v>
      </c>
      <c r="H210" s="65">
        <v>0.02493</v>
      </c>
      <c r="I210" s="65">
        <v>0</v>
      </c>
      <c r="K210" s="69">
        <f>N152/1000*H210</f>
        <v>0</v>
      </c>
    </row>
    <row r="211" spans="4:11" s="65" customFormat="1" ht="12.75">
      <c r="D211" s="65" t="s">
        <v>198</v>
      </c>
      <c r="K211" s="65">
        <f>N153/1000*H211</f>
        <v>0</v>
      </c>
    </row>
    <row r="212" s="65" customFormat="1" ht="12.75">
      <c r="D212" s="65" t="s">
        <v>211</v>
      </c>
    </row>
    <row r="213" s="65" customFormat="1" ht="12.75">
      <c r="D213" s="65" t="s">
        <v>191</v>
      </c>
    </row>
    <row r="214" s="65" customFormat="1" ht="12.75">
      <c r="D214" s="65" t="s">
        <v>192</v>
      </c>
    </row>
    <row r="215" spans="4:11" s="65" customFormat="1" ht="12.75">
      <c r="D215" s="65" t="s">
        <v>158</v>
      </c>
      <c r="K215" s="69">
        <f>N136/1000*H215</f>
        <v>0</v>
      </c>
    </row>
    <row r="216" spans="4:11" s="65" customFormat="1" ht="12.75">
      <c r="D216" s="65" t="s">
        <v>196</v>
      </c>
      <c r="H216" s="65">
        <v>0.00888</v>
      </c>
      <c r="I216" s="65">
        <v>0</v>
      </c>
      <c r="K216" s="69">
        <f>N137/1000*H216</f>
        <v>0</v>
      </c>
    </row>
    <row r="217" spans="4:11" s="65" customFormat="1" ht="12.75">
      <c r="D217" s="65" t="s">
        <v>198</v>
      </c>
      <c r="H217" s="65">
        <v>0.009768</v>
      </c>
      <c r="I217" s="65">
        <v>0</v>
      </c>
      <c r="K217" s="69">
        <f>N138/1000*H217</f>
        <v>0.05960042880000001</v>
      </c>
    </row>
    <row r="218" spans="5:11" s="65" customFormat="1" ht="12.75">
      <c r="E218" s="65" t="s">
        <v>201</v>
      </c>
      <c r="G218" s="65">
        <v>0</v>
      </c>
      <c r="I218" s="65">
        <v>0</v>
      </c>
      <c r="K218" s="69"/>
    </row>
    <row r="219" s="65" customFormat="1" ht="12.75">
      <c r="K219" s="69"/>
    </row>
    <row r="220" spans="2:4" s="65" customFormat="1" ht="12.75">
      <c r="B220" s="65" t="s">
        <v>221</v>
      </c>
      <c r="D220" s="65" t="s">
        <v>203</v>
      </c>
    </row>
    <row r="221" s="65" customFormat="1" ht="12.75">
      <c r="D221" s="65" t="s">
        <v>204</v>
      </c>
    </row>
    <row r="222" s="65" customFormat="1" ht="12.75">
      <c r="D222" s="65" t="s">
        <v>205</v>
      </c>
    </row>
    <row r="223" s="65" customFormat="1" ht="12.75">
      <c r="D223" s="65" t="s">
        <v>191</v>
      </c>
    </row>
    <row r="224" spans="4:11" s="65" customFormat="1" ht="12.75">
      <c r="D224" s="65" t="s">
        <v>158</v>
      </c>
      <c r="H224" s="65">
        <v>0.0243</v>
      </c>
      <c r="K224" s="69">
        <f>N164/1000*H224</f>
        <v>0</v>
      </c>
    </row>
    <row r="225" spans="4:11" s="65" customFormat="1" ht="12.75">
      <c r="D225" s="65" t="s">
        <v>196</v>
      </c>
      <c r="H225" s="65">
        <v>0.027</v>
      </c>
      <c r="K225" s="69">
        <f>N165/1000*H225</f>
        <v>0</v>
      </c>
    </row>
    <row r="226" spans="4:11" s="65" customFormat="1" ht="12.75">
      <c r="D226" s="65" t="s">
        <v>198</v>
      </c>
      <c r="H226" s="65">
        <v>0.0297</v>
      </c>
      <c r="K226" s="69">
        <f>N166/1000*H226</f>
        <v>0.18121752000000002</v>
      </c>
    </row>
    <row r="227" spans="1:11" s="65" customFormat="1" ht="12.75">
      <c r="A227" s="65" t="s">
        <v>222</v>
      </c>
      <c r="B227" s="65" t="s">
        <v>223</v>
      </c>
      <c r="D227" s="65" t="s">
        <v>203</v>
      </c>
      <c r="K227" s="69"/>
    </row>
    <row r="228" spans="4:11" s="65" customFormat="1" ht="12.75">
      <c r="D228" s="65" t="s">
        <v>209</v>
      </c>
      <c r="K228" s="69"/>
    </row>
    <row r="229" spans="4:11" s="65" customFormat="1" ht="12.75">
      <c r="D229" s="65" t="s">
        <v>191</v>
      </c>
      <c r="K229" s="69"/>
    </row>
    <row r="230" spans="4:11" s="65" customFormat="1" ht="12.75">
      <c r="D230" s="65" t="s">
        <v>158</v>
      </c>
      <c r="H230" s="65">
        <v>0.01773</v>
      </c>
      <c r="I230" s="65">
        <v>0</v>
      </c>
      <c r="K230" s="69">
        <f>N151/1000*H230</f>
        <v>0</v>
      </c>
    </row>
    <row r="231" spans="4:11" s="65" customFormat="1" ht="12.75">
      <c r="D231" s="65" t="s">
        <v>196</v>
      </c>
      <c r="H231" s="65">
        <v>0.0197</v>
      </c>
      <c r="I231" s="65">
        <v>0</v>
      </c>
      <c r="K231" s="69">
        <f>N152/1000*H231</f>
        <v>0</v>
      </c>
    </row>
    <row r="232" spans="4:11" s="65" customFormat="1" ht="12.75">
      <c r="D232" s="65" t="s">
        <v>198</v>
      </c>
      <c r="K232" s="69">
        <f>N153/1000*H232</f>
        <v>0</v>
      </c>
    </row>
    <row r="233" spans="4:11" s="65" customFormat="1" ht="12.75">
      <c r="D233" s="65" t="s">
        <v>211</v>
      </c>
      <c r="K233" s="69"/>
    </row>
    <row r="234" spans="4:11" s="65" customFormat="1" ht="12.75">
      <c r="D234" s="65" t="s">
        <v>191</v>
      </c>
      <c r="K234" s="69"/>
    </row>
    <row r="235" spans="4:11" s="65" customFormat="1" ht="12.75">
      <c r="D235" s="65" t="s">
        <v>192</v>
      </c>
      <c r="K235" s="69"/>
    </row>
    <row r="236" spans="4:11" s="65" customFormat="1" ht="12.75">
      <c r="D236" s="65" t="s">
        <v>158</v>
      </c>
      <c r="K236" s="69">
        <f>N136/1000*H236</f>
        <v>0</v>
      </c>
    </row>
    <row r="237" spans="4:11" s="65" customFormat="1" ht="12.75">
      <c r="D237" s="65" t="s">
        <v>196</v>
      </c>
      <c r="H237" s="65">
        <v>0.0018</v>
      </c>
      <c r="I237" s="65">
        <v>0</v>
      </c>
      <c r="K237" s="69">
        <f>N137/1000*H237</f>
        <v>0</v>
      </c>
    </row>
    <row r="238" spans="4:11" s="65" customFormat="1" ht="12.75">
      <c r="D238" s="65" t="s">
        <v>198</v>
      </c>
      <c r="H238" s="65">
        <v>0.00198</v>
      </c>
      <c r="I238" s="65">
        <v>0</v>
      </c>
      <c r="K238" s="69">
        <f>N138/1000*H238</f>
        <v>0.012081168000000002</v>
      </c>
    </row>
    <row r="239" spans="5:11" s="65" customFormat="1" ht="12.75">
      <c r="E239" s="65" t="s">
        <v>201</v>
      </c>
      <c r="G239" s="65">
        <v>0</v>
      </c>
      <c r="I239" s="65">
        <v>0</v>
      </c>
      <c r="K239" s="69"/>
    </row>
    <row r="240" s="65" customFormat="1" ht="12.75">
      <c r="K240" s="69"/>
    </row>
    <row r="241" spans="2:7" s="65" customFormat="1" ht="12.75">
      <c r="B241" s="65" t="s">
        <v>224</v>
      </c>
      <c r="D241" s="65" t="s">
        <v>203</v>
      </c>
      <c r="G241" s="65" t="s">
        <v>225</v>
      </c>
    </row>
    <row r="242" spans="4:7" s="65" customFormat="1" ht="12.75">
      <c r="D242" s="65" t="s">
        <v>204</v>
      </c>
      <c r="G242" s="65" t="s">
        <v>226</v>
      </c>
    </row>
    <row r="243" spans="4:7" s="65" customFormat="1" ht="12.75">
      <c r="D243" s="65" t="s">
        <v>205</v>
      </c>
      <c r="G243" s="65" t="s">
        <v>227</v>
      </c>
    </row>
    <row r="244" s="65" customFormat="1" ht="12.75">
      <c r="D244" s="65" t="s">
        <v>191</v>
      </c>
    </row>
    <row r="245" spans="4:11" s="65" customFormat="1" ht="12.75">
      <c r="D245" s="65" t="s">
        <v>158</v>
      </c>
      <c r="H245" s="65">
        <v>0.02367</v>
      </c>
      <c r="K245" s="69">
        <f>N146/1000*H245</f>
        <v>0</v>
      </c>
    </row>
    <row r="246" spans="4:11" s="65" customFormat="1" ht="12.75">
      <c r="D246" s="65" t="s">
        <v>196</v>
      </c>
      <c r="H246" s="65">
        <v>0.0263</v>
      </c>
      <c r="K246" s="69">
        <f>N147/1000*H246</f>
        <v>0</v>
      </c>
    </row>
    <row r="247" spans="4:11" s="65" customFormat="1" ht="12.75">
      <c r="D247" s="65" t="s">
        <v>198</v>
      </c>
      <c r="H247" s="65">
        <v>0.02893</v>
      </c>
      <c r="K247" s="69">
        <f>N148/1000*H247</f>
        <v>0.036897322</v>
      </c>
    </row>
    <row r="248" s="65" customFormat="1" ht="12.75">
      <c r="K248" s="69"/>
    </row>
    <row r="249" spans="1:11" s="65" customFormat="1" ht="12.75">
      <c r="A249" s="65" t="s">
        <v>228</v>
      </c>
      <c r="B249" s="65" t="s">
        <v>229</v>
      </c>
      <c r="D249" s="65" t="s">
        <v>203</v>
      </c>
      <c r="K249" s="69"/>
    </row>
    <row r="250" spans="2:11" s="65" customFormat="1" ht="12.75">
      <c r="B250" s="65" t="s">
        <v>230</v>
      </c>
      <c r="D250" s="65" t="s">
        <v>209</v>
      </c>
      <c r="K250" s="69"/>
    </row>
    <row r="251" spans="4:11" s="65" customFormat="1" ht="12.75">
      <c r="D251" s="65" t="s">
        <v>191</v>
      </c>
      <c r="K251" s="69"/>
    </row>
    <row r="252" spans="4:11" s="65" customFormat="1" ht="12.75">
      <c r="D252" s="65" t="s">
        <v>158</v>
      </c>
      <c r="H252" s="65">
        <v>0.014679</v>
      </c>
      <c r="I252" s="65">
        <v>0</v>
      </c>
      <c r="K252" s="69">
        <f>N151/1000*H252</f>
        <v>0</v>
      </c>
    </row>
    <row r="253" spans="4:11" s="65" customFormat="1" ht="12.75">
      <c r="D253" s="65" t="s">
        <v>196</v>
      </c>
      <c r="H253" s="65">
        <v>0.01631</v>
      </c>
      <c r="I253" s="65">
        <v>0</v>
      </c>
      <c r="K253" s="69">
        <f>N152/1000*H253</f>
        <v>0</v>
      </c>
    </row>
    <row r="254" spans="4:11" s="65" customFormat="1" ht="12.75">
      <c r="D254" s="65" t="s">
        <v>198</v>
      </c>
      <c r="K254" s="69">
        <f>N153/1000*H254</f>
        <v>0</v>
      </c>
    </row>
    <row r="255" spans="4:11" s="65" customFormat="1" ht="12.75">
      <c r="D255" s="65" t="s">
        <v>211</v>
      </c>
      <c r="K255" s="69"/>
    </row>
    <row r="256" spans="4:11" s="65" customFormat="1" ht="12.75">
      <c r="D256" s="65" t="s">
        <v>191</v>
      </c>
      <c r="K256" s="69"/>
    </row>
    <row r="257" spans="4:11" s="65" customFormat="1" ht="12.75">
      <c r="D257" s="65" t="s">
        <v>192</v>
      </c>
      <c r="K257" s="69"/>
    </row>
    <row r="258" spans="4:11" s="65" customFormat="1" ht="12.75">
      <c r="D258" s="65" t="s">
        <v>158</v>
      </c>
      <c r="K258" s="69">
        <f>N136/1000*H258</f>
        <v>0</v>
      </c>
    </row>
    <row r="259" spans="4:11" s="65" customFormat="1" ht="12.75">
      <c r="D259" s="65" t="s">
        <v>196</v>
      </c>
      <c r="H259" s="65">
        <v>0.01631</v>
      </c>
      <c r="I259" s="65">
        <v>0</v>
      </c>
      <c r="K259" s="69">
        <f>N137/1000*H259</f>
        <v>0</v>
      </c>
    </row>
    <row r="260" spans="4:11" s="65" customFormat="1" ht="12.75">
      <c r="D260" s="65" t="s">
        <v>198</v>
      </c>
      <c r="H260" s="65">
        <v>0.017941</v>
      </c>
      <c r="I260" s="65">
        <v>0</v>
      </c>
      <c r="K260" s="69">
        <f>N138/1000*H260</f>
        <v>0.1094688056</v>
      </c>
    </row>
    <row r="261" spans="5:11" s="65" customFormat="1" ht="12.75">
      <c r="E261" s="65" t="s">
        <v>201</v>
      </c>
      <c r="G261" s="65">
        <v>0</v>
      </c>
      <c r="I261" s="65">
        <v>0</v>
      </c>
      <c r="K261" s="69"/>
    </row>
    <row r="262" s="65" customFormat="1" ht="12.75">
      <c r="K262" s="69"/>
    </row>
    <row r="263" spans="1:11" s="65" customFormat="1" ht="12.75">
      <c r="A263" s="65" t="s">
        <v>231</v>
      </c>
      <c r="B263" s="65" t="s">
        <v>232</v>
      </c>
      <c r="D263" s="65" t="s">
        <v>203</v>
      </c>
      <c r="K263" s="69"/>
    </row>
    <row r="264" spans="2:11" s="65" customFormat="1" ht="12.75">
      <c r="B264" s="65" t="s">
        <v>233</v>
      </c>
      <c r="D264" s="65" t="s">
        <v>211</v>
      </c>
      <c r="K264" s="69"/>
    </row>
    <row r="265" spans="4:11" s="65" customFormat="1" ht="12.75">
      <c r="D265" s="65" t="s">
        <v>209</v>
      </c>
      <c r="K265" s="69"/>
    </row>
    <row r="266" spans="4:11" s="65" customFormat="1" ht="12.75">
      <c r="D266" s="65" t="s">
        <v>234</v>
      </c>
      <c r="K266" s="69"/>
    </row>
    <row r="267" spans="4:11" s="65" customFormat="1" ht="12.75">
      <c r="D267" s="65" t="s">
        <v>235</v>
      </c>
      <c r="F267" s="65" t="s">
        <v>236</v>
      </c>
      <c r="K267" s="69"/>
    </row>
    <row r="268" spans="4:11" s="65" customFormat="1" ht="12.75">
      <c r="D268" s="65" t="s">
        <v>191</v>
      </c>
      <c r="F268" s="65" t="s">
        <v>237</v>
      </c>
      <c r="K268" s="69"/>
    </row>
    <row r="269" spans="4:11" s="65" customFormat="1" ht="12.75">
      <c r="D269" s="65" t="s">
        <v>158</v>
      </c>
      <c r="H269" s="65">
        <v>41000</v>
      </c>
      <c r="I269" s="65">
        <v>0</v>
      </c>
      <c r="K269" s="69">
        <f>N164/H269</f>
        <v>0</v>
      </c>
    </row>
    <row r="270" spans="4:11" s="65" customFormat="1" ht="12.75">
      <c r="D270" s="65" t="s">
        <v>196</v>
      </c>
      <c r="H270" s="65">
        <v>39000</v>
      </c>
      <c r="I270" s="65">
        <v>0</v>
      </c>
      <c r="K270" s="69">
        <f>N165/H270</f>
        <v>0</v>
      </c>
    </row>
    <row r="271" spans="4:11" s="65" customFormat="1" ht="12.75">
      <c r="D271" s="65" t="s">
        <v>198</v>
      </c>
      <c r="H271" s="65">
        <v>37000</v>
      </c>
      <c r="I271" s="65">
        <v>0</v>
      </c>
      <c r="K271" s="69">
        <f>N166/H271</f>
        <v>0.16490810810810813</v>
      </c>
    </row>
    <row r="272" s="65" customFormat="1" ht="12.75">
      <c r="K272" s="69"/>
    </row>
    <row r="273" spans="4:11" s="65" customFormat="1" ht="12.75">
      <c r="D273" s="65" t="s">
        <v>238</v>
      </c>
      <c r="K273" s="69"/>
    </row>
    <row r="274" spans="4:11" s="65" customFormat="1" ht="12.75">
      <c r="D274" s="65" t="s">
        <v>239</v>
      </c>
      <c r="F274" s="65" t="s">
        <v>240</v>
      </c>
      <c r="K274" s="69"/>
    </row>
    <row r="275" spans="4:11" s="65" customFormat="1" ht="12.75">
      <c r="D275" s="65" t="s">
        <v>191</v>
      </c>
      <c r="K275" s="69"/>
    </row>
    <row r="276" spans="4:11" s="65" customFormat="1" ht="12.75">
      <c r="D276" s="65" t="s">
        <v>158</v>
      </c>
      <c r="H276" s="65">
        <v>450</v>
      </c>
      <c r="I276" s="65">
        <v>0</v>
      </c>
      <c r="K276" s="69">
        <f>N169/H276</f>
        <v>0</v>
      </c>
    </row>
    <row r="277" spans="4:11" s="65" customFormat="1" ht="12.75">
      <c r="D277" s="65" t="s">
        <v>196</v>
      </c>
      <c r="H277" s="65">
        <v>375</v>
      </c>
      <c r="I277" s="65">
        <v>0</v>
      </c>
      <c r="K277" s="69">
        <f>N170/H277</f>
        <v>0</v>
      </c>
    </row>
    <row r="278" spans="4:11" s="65" customFormat="1" ht="12.75">
      <c r="D278" s="65" t="s">
        <v>198</v>
      </c>
      <c r="H278" s="65">
        <v>310</v>
      </c>
      <c r="I278" s="65">
        <v>0</v>
      </c>
      <c r="K278" s="69">
        <f>N171/H278</f>
        <v>0.38387096774193546</v>
      </c>
    </row>
    <row r="279" spans="5:11" s="65" customFormat="1" ht="12.75">
      <c r="E279" s="65" t="s">
        <v>201</v>
      </c>
      <c r="G279" s="65">
        <v>0</v>
      </c>
      <c r="I279" s="65">
        <v>0</v>
      </c>
      <c r="K279" s="69"/>
    </row>
    <row r="280" s="65" customFormat="1" ht="12.75">
      <c r="K280" s="69"/>
    </row>
    <row r="281" spans="1:11" s="65" customFormat="1" ht="12.75">
      <c r="A281" s="65" t="s">
        <v>241</v>
      </c>
      <c r="B281" s="65" t="s">
        <v>242</v>
      </c>
      <c r="D281" s="65" t="s">
        <v>243</v>
      </c>
      <c r="K281" s="69"/>
    </row>
    <row r="282" spans="4:11" s="65" customFormat="1" ht="12.75">
      <c r="D282" s="65" t="s">
        <v>244</v>
      </c>
      <c r="F282" s="65" t="s">
        <v>240</v>
      </c>
      <c r="K282" s="69"/>
    </row>
    <row r="283" spans="4:11" s="65" customFormat="1" ht="12.75">
      <c r="D283" s="65" t="s">
        <v>245</v>
      </c>
      <c r="K283" s="69"/>
    </row>
    <row r="284" spans="4:11" s="65" customFormat="1" ht="12.75">
      <c r="D284" s="65" t="s">
        <v>158</v>
      </c>
      <c r="H284" s="65">
        <v>2350</v>
      </c>
      <c r="I284" s="65">
        <v>0</v>
      </c>
      <c r="K284" s="69">
        <f>N169/H284</f>
        <v>0</v>
      </c>
    </row>
    <row r="285" spans="4:11" s="65" customFormat="1" ht="12.75">
      <c r="D285" s="65" t="s">
        <v>196</v>
      </c>
      <c r="H285" s="65">
        <v>2250</v>
      </c>
      <c r="I285" s="65">
        <v>0</v>
      </c>
      <c r="K285" s="69">
        <f>N170/H285</f>
        <v>0</v>
      </c>
    </row>
    <row r="286" spans="4:11" s="65" customFormat="1" ht="12.75">
      <c r="D286" s="65" t="s">
        <v>198</v>
      </c>
      <c r="H286" s="65">
        <v>2200</v>
      </c>
      <c r="I286" s="65">
        <v>0</v>
      </c>
      <c r="K286" s="69">
        <f>N171/H286</f>
        <v>0.05409090909090909</v>
      </c>
    </row>
    <row r="287" spans="5:11" s="65" customFormat="1" ht="12.75">
      <c r="E287" s="65" t="s">
        <v>201</v>
      </c>
      <c r="G287" s="65">
        <v>0</v>
      </c>
      <c r="I287" s="65">
        <v>0</v>
      </c>
      <c r="K287" s="69"/>
    </row>
    <row r="288" s="65" customFormat="1" ht="12.75">
      <c r="K288" s="69">
        <f>K150+K151+K152+K160+K161+K162+K167+K168+K169+K173+K174+K175+K181+K182+K183+K187+K188+K189+K195+K196+K197+K201+K202+K203+K209+K210+K211+K215+K216+K217+K224+K225+K226+K230+K231+K232+K236+K237+K238+K245+K246+K247+K252+K253+K254+K258+K259+K260+K269+K270+K271+K276+K277+K278+K284+K285+K286</f>
        <v>1.4259029977409527</v>
      </c>
    </row>
    <row r="289" spans="1:11" s="65" customFormat="1" ht="12.75">
      <c r="A289" s="65" t="s">
        <v>246</v>
      </c>
      <c r="B289" s="65" t="s">
        <v>247</v>
      </c>
      <c r="F289" s="65" t="s">
        <v>248</v>
      </c>
      <c r="I289" s="65">
        <v>1</v>
      </c>
      <c r="K289" s="69">
        <f>K288*1.12</f>
        <v>1.5970113574698672</v>
      </c>
    </row>
    <row r="290" s="65" customFormat="1" ht="12.75">
      <c r="B290" s="65" t="s">
        <v>249</v>
      </c>
    </row>
    <row r="291" s="65" customFormat="1" ht="12.75">
      <c r="B291" s="65" t="s">
        <v>250</v>
      </c>
    </row>
    <row r="292" s="65" customFormat="1" ht="12.75"/>
    <row r="293" spans="1:9" s="65" customFormat="1" ht="12.75">
      <c r="A293" s="65" t="s">
        <v>251</v>
      </c>
      <c r="B293" s="65" t="s">
        <v>252</v>
      </c>
      <c r="I293" s="65">
        <v>2</v>
      </c>
    </row>
    <row r="294" spans="1:9" s="65" customFormat="1" ht="12.75">
      <c r="A294" s="65" t="s">
        <v>253</v>
      </c>
      <c r="B294" s="65" t="s">
        <v>254</v>
      </c>
      <c r="I294" s="65">
        <v>1</v>
      </c>
    </row>
    <row r="295" spans="1:9" s="65" customFormat="1" ht="12.75">
      <c r="A295" s="65" t="s">
        <v>255</v>
      </c>
      <c r="B295" s="65" t="s">
        <v>256</v>
      </c>
      <c r="I295" s="65">
        <v>1</v>
      </c>
    </row>
    <row r="296" spans="2:9" s="65" customFormat="1" ht="12.75">
      <c r="B296" s="65" t="s">
        <v>257</v>
      </c>
      <c r="I296" s="65">
        <v>5</v>
      </c>
    </row>
    <row r="297" s="65" customFormat="1" ht="12.75">
      <c r="F297" s="65" t="s">
        <v>258</v>
      </c>
    </row>
    <row r="298" spans="1:9" s="65" customFormat="1" ht="12.75">
      <c r="A298" s="65" t="s">
        <v>259</v>
      </c>
      <c r="B298" s="65" t="s">
        <v>260</v>
      </c>
      <c r="E298" s="65" t="s">
        <v>261</v>
      </c>
      <c r="G298" s="65">
        <v>783</v>
      </c>
      <c r="H298" s="65">
        <v>1200</v>
      </c>
      <c r="I298" s="65">
        <f>G298/H298</f>
        <v>0.6525</v>
      </c>
    </row>
    <row r="299" spans="5:9" s="65" customFormat="1" ht="12.75">
      <c r="E299" s="65" t="s">
        <v>262</v>
      </c>
      <c r="H299" s="65">
        <v>1650</v>
      </c>
      <c r="I299" s="69">
        <f>G299/H299</f>
        <v>0</v>
      </c>
    </row>
    <row r="300" spans="5:9" s="65" customFormat="1" ht="12.75">
      <c r="E300" s="65" t="s">
        <v>263</v>
      </c>
      <c r="G300" s="65">
        <v>2136</v>
      </c>
      <c r="H300" s="65">
        <v>9000</v>
      </c>
      <c r="I300" s="69">
        <f>G300/H300</f>
        <v>0.23733333333333334</v>
      </c>
    </row>
    <row r="301" spans="3:9" s="65" customFormat="1" ht="12.75">
      <c r="C301" s="65" t="s">
        <v>201</v>
      </c>
      <c r="G301" s="65">
        <f>G299+G300</f>
        <v>2136</v>
      </c>
      <c r="I301" s="69">
        <f>I298+I299+I300</f>
        <v>0.8898333333333333</v>
      </c>
    </row>
    <row r="302" s="65" customFormat="1" ht="12.75">
      <c r="F302" s="65" t="s">
        <v>258</v>
      </c>
    </row>
    <row r="303" spans="1:9" s="65" customFormat="1" ht="12.75">
      <c r="A303" s="65" t="s">
        <v>264</v>
      </c>
      <c r="B303" s="65" t="s">
        <v>265</v>
      </c>
      <c r="E303" s="65" t="s">
        <v>266</v>
      </c>
      <c r="G303" s="65">
        <v>577</v>
      </c>
      <c r="H303" s="65">
        <v>800</v>
      </c>
      <c r="I303" s="69">
        <f>G303/H303</f>
        <v>0.72125</v>
      </c>
    </row>
    <row r="304" spans="2:9" s="65" customFormat="1" ht="12.75">
      <c r="B304" s="65" t="s">
        <v>267</v>
      </c>
      <c r="E304" s="65" t="s">
        <v>268</v>
      </c>
      <c r="H304" s="65">
        <v>960</v>
      </c>
      <c r="I304" s="69">
        <f>G304/H304</f>
        <v>0</v>
      </c>
    </row>
    <row r="305" s="65" customFormat="1" ht="12.75">
      <c r="E305" s="65" t="s">
        <v>269</v>
      </c>
    </row>
    <row r="306" spans="3:9" s="65" customFormat="1" ht="12.75">
      <c r="C306" s="65" t="s">
        <v>201</v>
      </c>
      <c r="G306" s="65">
        <f>G303+G304+G305</f>
        <v>577</v>
      </c>
      <c r="I306" s="69">
        <f>I303+I304</f>
        <v>0.72125</v>
      </c>
    </row>
    <row r="307" s="65" customFormat="1" ht="12.75">
      <c r="F307" s="65" t="s">
        <v>270</v>
      </c>
    </row>
    <row r="308" spans="1:9" s="65" customFormat="1" ht="12.75">
      <c r="A308" s="65" t="s">
        <v>271</v>
      </c>
      <c r="B308" s="65" t="s">
        <v>272</v>
      </c>
      <c r="E308" s="65" t="s">
        <v>273</v>
      </c>
      <c r="H308" s="65">
        <v>500</v>
      </c>
      <c r="I308" s="69">
        <f>G308/H308</f>
        <v>0</v>
      </c>
    </row>
    <row r="309" spans="5:9" s="65" customFormat="1" ht="12.75">
      <c r="E309" s="65" t="s">
        <v>274</v>
      </c>
      <c r="H309" s="65">
        <v>700</v>
      </c>
      <c r="I309" s="69">
        <f>G309/H309</f>
        <v>0</v>
      </c>
    </row>
    <row r="310" s="65" customFormat="1" ht="12.75">
      <c r="E310" s="65" t="s">
        <v>275</v>
      </c>
    </row>
    <row r="311" spans="3:9" s="65" customFormat="1" ht="12.75">
      <c r="C311" s="65" t="s">
        <v>201</v>
      </c>
      <c r="G311" s="65">
        <f>G308+G309</f>
        <v>0</v>
      </c>
      <c r="I311" s="69">
        <f>I308+I309</f>
        <v>0</v>
      </c>
    </row>
    <row r="312" spans="1:2" s="65" customFormat="1" ht="12.75">
      <c r="A312" s="65" t="s">
        <v>276</v>
      </c>
      <c r="B312" s="65" t="s">
        <v>277</v>
      </c>
    </row>
    <row r="313" spans="2:9" s="65" customFormat="1" ht="12.75">
      <c r="B313" s="65" t="s">
        <v>278</v>
      </c>
      <c r="I313" s="65">
        <v>2</v>
      </c>
    </row>
  </sheetData>
  <sheetProtection/>
  <mergeCells count="45">
    <mergeCell ref="A110:G110"/>
    <mergeCell ref="A114:E114"/>
    <mergeCell ref="A116:G116"/>
    <mergeCell ref="A120:D120"/>
    <mergeCell ref="C101:I101"/>
    <mergeCell ref="C70:D70"/>
    <mergeCell ref="A73:F73"/>
    <mergeCell ref="A74:G74"/>
    <mergeCell ref="A75:D75"/>
    <mergeCell ref="E75:G75"/>
    <mergeCell ref="A76:E76"/>
    <mergeCell ref="A55:G55"/>
    <mergeCell ref="A56:G56"/>
    <mergeCell ref="A58:F58"/>
    <mergeCell ref="A62:D62"/>
    <mergeCell ref="A63:F63"/>
    <mergeCell ref="A66:E66"/>
    <mergeCell ref="A43:F43"/>
    <mergeCell ref="A44:F44"/>
    <mergeCell ref="A49:F49"/>
    <mergeCell ref="A53:G53"/>
    <mergeCell ref="A54:E54"/>
    <mergeCell ref="A36:G36"/>
    <mergeCell ref="A37:G37"/>
    <mergeCell ref="A38:G38"/>
    <mergeCell ref="A40:G40"/>
    <mergeCell ref="A41:G41"/>
    <mergeCell ref="A42:G42"/>
    <mergeCell ref="A28:G28"/>
    <mergeCell ref="A30:E30"/>
    <mergeCell ref="A32:G32"/>
    <mergeCell ref="A33:G33"/>
    <mergeCell ref="A34:G34"/>
    <mergeCell ref="A35:G35"/>
    <mergeCell ref="A15:G15"/>
    <mergeCell ref="A19:F19"/>
    <mergeCell ref="A21:F21"/>
    <mergeCell ref="A24:F24"/>
    <mergeCell ref="A26:G26"/>
    <mergeCell ref="A27:G27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6 M56 M62 M69 L79:M79 H104:H106 H108 H110 K110 H116 H118 H120 H122 H124" evalError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P316"/>
  <sheetViews>
    <sheetView zoomScalePageLayoutView="0" workbookViewId="0" topLeftCell="A1">
      <selection activeCell="A4" sqref="A4:K5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57421875" style="6" customWidth="1"/>
    <col min="6" max="7" width="9.140625" style="6" customWidth="1"/>
    <col min="8" max="8" width="8.57421875" style="6" customWidth="1"/>
    <col min="9" max="9" width="11.140625" style="6" customWidth="1"/>
    <col min="10" max="10" width="8.28125" style="6" hidden="1" customWidth="1"/>
    <col min="11" max="11" width="13.57421875" style="6" customWidth="1"/>
    <col min="12" max="12" width="13.421875" style="65" customWidth="1"/>
    <col min="13" max="13" width="9.140625" style="65" customWidth="1"/>
    <col min="14" max="14" width="9.57421875" style="65" bestFit="1" customWidth="1"/>
    <col min="15" max="16" width="9.140625" style="65" customWidth="1"/>
    <col min="17" max="16384" width="9.140625" style="6" customWidth="1"/>
  </cols>
  <sheetData>
    <row r="1" spans="1:11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417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M5" s="65">
        <f>11.91*0.04</f>
        <v>0.4764</v>
      </c>
    </row>
    <row r="6" spans="1:11" ht="14.25">
      <c r="A6" s="117" t="s">
        <v>382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6" s="9" customFormat="1" ht="14.25">
      <c r="A10" s="9" t="s">
        <v>383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67">
        <f>E13</f>
        <v>0</v>
      </c>
      <c r="M10" s="67"/>
      <c r="N10" s="67"/>
      <c r="O10" s="67"/>
      <c r="P10" s="67"/>
    </row>
    <row r="11" spans="1:16" s="9" customFormat="1" ht="15.75">
      <c r="A11" s="11"/>
      <c r="B11" s="11"/>
      <c r="C11" s="12"/>
      <c r="D11" s="11"/>
      <c r="K11" s="5"/>
      <c r="L11" s="92">
        <f>(K17+K32+K48+K55+K67+K74)</f>
        <v>69876.78499157343</v>
      </c>
      <c r="M11" s="67"/>
      <c r="N11" s="67"/>
      <c r="O11" s="67"/>
      <c r="P11" s="67"/>
    </row>
    <row r="12" spans="1:16" s="9" customFormat="1" ht="15.75">
      <c r="A12" s="11" t="s">
        <v>69</v>
      </c>
      <c r="B12" s="11"/>
      <c r="C12" s="12"/>
      <c r="D12" s="11"/>
      <c r="E12" s="9">
        <v>63739.98</v>
      </c>
      <c r="F12" s="9" t="s">
        <v>70</v>
      </c>
      <c r="H12" s="13"/>
      <c r="I12" s="13"/>
      <c r="K12" s="13"/>
      <c r="L12" s="67">
        <f>(L10-L11)*15%</f>
        <v>-10481.517748736014</v>
      </c>
      <c r="M12" s="67"/>
      <c r="N12" s="67"/>
      <c r="O12" s="67"/>
      <c r="P12" s="67"/>
    </row>
    <row r="13" spans="1:16" s="9" customFormat="1" ht="15.75">
      <c r="A13" s="11"/>
      <c r="B13" s="11"/>
      <c r="C13" s="12"/>
      <c r="D13" s="11"/>
      <c r="H13" s="13"/>
      <c r="I13" s="13"/>
      <c r="K13" s="13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v>71386.23</v>
      </c>
      <c r="L15" s="68">
        <f>K17+K32+K48+K55+K67+K74+K84+K86</f>
        <v>71386.22689157342</v>
      </c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H19+H20+H21+H23+H25+H26+H27+H28+H29+H30</f>
        <v>12142.412645787848</v>
      </c>
      <c r="M17" s="65" t="s">
        <v>76</v>
      </c>
      <c r="O17" s="78">
        <f>I304</f>
        <v>1.1471111111111112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78">
        <f>I309</f>
        <v>0.5463541666666667</v>
      </c>
    </row>
    <row r="19" spans="1:15" ht="12.75">
      <c r="A19" s="113" t="s">
        <v>384</v>
      </c>
      <c r="B19" s="113"/>
      <c r="C19" s="113"/>
      <c r="D19" s="113"/>
      <c r="E19" s="113"/>
      <c r="F19" s="113"/>
      <c r="G19" s="22"/>
      <c r="H19" s="23">
        <f>O17*2600*1.75*1.07</f>
        <v>5584.710444444445</v>
      </c>
      <c r="I19" s="22"/>
      <c r="J19" s="22"/>
      <c r="K19" s="23"/>
      <c r="M19" s="65" t="s">
        <v>80</v>
      </c>
      <c r="O19" s="78">
        <f>I314</f>
        <v>0.644</v>
      </c>
    </row>
    <row r="20" spans="1:15" ht="12.75">
      <c r="A20" s="113" t="s">
        <v>313</v>
      </c>
      <c r="B20" s="113"/>
      <c r="C20" s="113"/>
      <c r="D20" s="113"/>
      <c r="E20" s="113"/>
      <c r="F20" s="113"/>
      <c r="G20" s="22"/>
      <c r="H20" s="23">
        <f>O19*2600*1.07*1.5</f>
        <v>2687.4120000000003</v>
      </c>
      <c r="I20" s="22"/>
      <c r="J20" s="22"/>
      <c r="K20" s="23"/>
      <c r="M20" s="65" t="s">
        <v>314</v>
      </c>
      <c r="O20" s="65">
        <v>5351.8</v>
      </c>
    </row>
    <row r="21" spans="1:15" ht="12.75">
      <c r="A21" s="113" t="s">
        <v>385</v>
      </c>
      <c r="B21" s="113"/>
      <c r="C21" s="113"/>
      <c r="D21" s="113"/>
      <c r="E21" s="113"/>
      <c r="F21" s="113"/>
      <c r="G21" s="22"/>
      <c r="H21" s="23">
        <f>O18*2203*1.3*1.07</f>
        <v>1674.2329567708334</v>
      </c>
      <c r="I21" s="22"/>
      <c r="J21" s="22"/>
      <c r="K21" s="23"/>
      <c r="M21" s="65" t="s">
        <v>83</v>
      </c>
      <c r="O21" s="65">
        <v>322</v>
      </c>
    </row>
    <row r="22" spans="1:13" ht="12.75" hidden="1">
      <c r="A22" s="22"/>
      <c r="B22" s="22"/>
      <c r="C22" s="22"/>
      <c r="D22" s="22"/>
      <c r="E22" s="22"/>
      <c r="F22" s="22"/>
      <c r="G22" s="22"/>
      <c r="H22" s="23"/>
      <c r="I22" s="22"/>
      <c r="J22" s="22"/>
      <c r="M22" s="65" t="s">
        <v>316</v>
      </c>
    </row>
    <row r="23" spans="1:16" ht="12.75">
      <c r="A23" s="23">
        <f>H19+H20+H21</f>
        <v>9946.355401215278</v>
      </c>
      <c r="B23" s="22" t="s">
        <v>84</v>
      </c>
      <c r="C23" s="22"/>
      <c r="D23" s="22"/>
      <c r="E23" s="22"/>
      <c r="F23" s="22"/>
      <c r="G23" s="22"/>
      <c r="H23" s="23">
        <f>(H19+H20+H21)*14.2%</f>
        <v>1412.3824669725693</v>
      </c>
      <c r="I23" s="22"/>
      <c r="J23" s="22">
        <v>781740.1</v>
      </c>
      <c r="K23" s="25"/>
      <c r="L23" s="70"/>
      <c r="M23" s="65" t="s">
        <v>85</v>
      </c>
      <c r="P23" s="65">
        <f>O23/2</f>
        <v>0</v>
      </c>
    </row>
    <row r="24" spans="1:16" ht="12.75">
      <c r="A24" s="22" t="s">
        <v>86</v>
      </c>
      <c r="B24" s="22"/>
      <c r="C24" s="22"/>
      <c r="D24" s="22"/>
      <c r="E24" s="22"/>
      <c r="F24" s="22"/>
      <c r="G24" s="22"/>
      <c r="H24" s="23"/>
      <c r="I24" s="22"/>
      <c r="J24" s="22">
        <v>113966.82</v>
      </c>
      <c r="K24" s="23"/>
      <c r="N24" s="65">
        <v>9</v>
      </c>
      <c r="P24" s="65">
        <f>O24/2</f>
        <v>0</v>
      </c>
    </row>
    <row r="25" spans="1:16" ht="12.75">
      <c r="A25" s="113" t="s">
        <v>386</v>
      </c>
      <c r="B25" s="113"/>
      <c r="C25" s="113"/>
      <c r="D25" s="113"/>
      <c r="E25" s="113"/>
      <c r="F25" s="113"/>
      <c r="G25" s="22"/>
      <c r="H25" s="23">
        <f>O20*0.057</f>
        <v>305.05260000000004</v>
      </c>
      <c r="I25" s="23"/>
      <c r="J25" s="22"/>
      <c r="K25" s="23"/>
      <c r="N25" s="65">
        <v>10</v>
      </c>
      <c r="P25" s="65">
        <f>O25/2</f>
        <v>0</v>
      </c>
    </row>
    <row r="26" spans="1:16" ht="12.75">
      <c r="A26" s="113" t="s">
        <v>387</v>
      </c>
      <c r="B26" s="113"/>
      <c r="C26" s="113"/>
      <c r="D26" s="113"/>
      <c r="E26" s="113"/>
      <c r="F26" s="113"/>
      <c r="G26" s="113"/>
      <c r="H26" s="23">
        <f>0.0018*O20</f>
        <v>9.63324</v>
      </c>
      <c r="I26" s="23"/>
      <c r="J26" s="22"/>
      <c r="K26" s="23"/>
      <c r="N26" s="65">
        <v>12</v>
      </c>
      <c r="P26" s="65">
        <f>O26/2</f>
        <v>0</v>
      </c>
    </row>
    <row r="27" spans="1:15" ht="12.75">
      <c r="A27" s="113" t="s">
        <v>388</v>
      </c>
      <c r="B27" s="113"/>
      <c r="C27" s="113"/>
      <c r="D27" s="113"/>
      <c r="E27" s="113"/>
      <c r="F27" s="113"/>
      <c r="G27" s="113"/>
      <c r="H27" s="23">
        <f>0.0085*O20</f>
        <v>45.490300000000005</v>
      </c>
      <c r="I27" s="23"/>
      <c r="J27" s="22"/>
      <c r="K27" s="23"/>
      <c r="N27" s="65">
        <v>16</v>
      </c>
      <c r="O27" s="65">
        <v>2</v>
      </c>
    </row>
    <row r="28" spans="1:13" ht="12.75">
      <c r="A28" s="113" t="s">
        <v>389</v>
      </c>
      <c r="B28" s="113"/>
      <c r="C28" s="113"/>
      <c r="D28" s="113"/>
      <c r="E28" s="113"/>
      <c r="F28" s="113"/>
      <c r="G28" s="113"/>
      <c r="H28" s="23">
        <f>O20*0.005</f>
        <v>26.759</v>
      </c>
      <c r="I28" s="22"/>
      <c r="J28" s="22"/>
      <c r="K28" s="23"/>
      <c r="M28" s="65" t="s">
        <v>90</v>
      </c>
    </row>
    <row r="29" spans="1:15" ht="12.75">
      <c r="A29" s="113" t="s">
        <v>390</v>
      </c>
      <c r="B29" s="113"/>
      <c r="C29" s="113"/>
      <c r="D29" s="113"/>
      <c r="E29" s="113"/>
      <c r="F29" s="113"/>
      <c r="G29" s="113"/>
      <c r="H29" s="23">
        <f>O20*0.017</f>
        <v>90.98060000000001</v>
      </c>
      <c r="I29" s="22"/>
      <c r="J29" s="22">
        <v>13606.82</v>
      </c>
      <c r="K29" s="23"/>
      <c r="M29" s="65" t="s">
        <v>92</v>
      </c>
      <c r="O29" s="65">
        <v>27</v>
      </c>
    </row>
    <row r="30" spans="1:15" ht="12.75">
      <c r="A30" s="113" t="s">
        <v>391</v>
      </c>
      <c r="B30" s="113"/>
      <c r="C30" s="113"/>
      <c r="D30" s="113"/>
      <c r="E30" s="113"/>
      <c r="F30" s="113"/>
      <c r="G30" s="113"/>
      <c r="H30" s="23">
        <f>0.054*O20*1.058</f>
        <v>305.75903760000006</v>
      </c>
      <c r="I30" s="22"/>
      <c r="J30" s="22"/>
      <c r="K30" s="23"/>
      <c r="M30" s="65" t="s">
        <v>94</v>
      </c>
      <c r="O30" s="65">
        <v>4650</v>
      </c>
    </row>
    <row r="31" spans="1:11" ht="12.75">
      <c r="A31" s="24"/>
      <c r="B31" s="24"/>
      <c r="C31" s="24"/>
      <c r="D31" s="24"/>
      <c r="E31" s="24"/>
      <c r="F31" s="24"/>
      <c r="G31" s="24"/>
      <c r="H31" s="23"/>
      <c r="I31" s="22"/>
      <c r="J31" s="22"/>
      <c r="K31" s="23"/>
    </row>
    <row r="32" spans="1:15" ht="15.75">
      <c r="A32" s="110" t="s">
        <v>95</v>
      </c>
      <c r="B32" s="110"/>
      <c r="C32" s="110"/>
      <c r="D32" s="110"/>
      <c r="E32" s="110"/>
      <c r="F32" s="20"/>
      <c r="G32" s="20"/>
      <c r="H32" s="27"/>
      <c r="I32" s="20"/>
      <c r="J32" s="20"/>
      <c r="K32" s="21">
        <f>H34+H35+H36+H37+H38+H39+H40+H41+H42+H43+H44+H45+H46</f>
        <v>19339.457158198667</v>
      </c>
      <c r="M32" s="65" t="s">
        <v>96</v>
      </c>
      <c r="O32" s="69">
        <f>K292</f>
        <v>1.5115725355092626</v>
      </c>
    </row>
    <row r="33" spans="1:11" ht="12.75">
      <c r="A33" s="22"/>
      <c r="B33" s="22" t="s">
        <v>64</v>
      </c>
      <c r="C33" s="22"/>
      <c r="D33" s="22"/>
      <c r="E33" s="22"/>
      <c r="F33" s="22"/>
      <c r="G33" s="22"/>
      <c r="H33" s="28"/>
      <c r="I33" s="22"/>
      <c r="J33" s="22"/>
      <c r="K33" s="29"/>
    </row>
    <row r="34" spans="1:11" ht="12.75">
      <c r="A34" s="113" t="s">
        <v>392</v>
      </c>
      <c r="B34" s="113"/>
      <c r="C34" s="113"/>
      <c r="D34" s="113"/>
      <c r="E34" s="113"/>
      <c r="F34" s="113"/>
      <c r="G34" s="113"/>
      <c r="H34" s="28">
        <f>(O21*1.5)/12*90.3*1.058</f>
        <v>3845.38035</v>
      </c>
      <c r="I34" s="22"/>
      <c r="J34" s="22"/>
      <c r="K34" s="29"/>
    </row>
    <row r="35" spans="1:12" ht="12.75">
      <c r="A35" s="113" t="s">
        <v>393</v>
      </c>
      <c r="B35" s="113"/>
      <c r="C35" s="113"/>
      <c r="D35" s="113"/>
      <c r="E35" s="113"/>
      <c r="F35" s="113"/>
      <c r="G35" s="113"/>
      <c r="H35" s="28">
        <f>O21*1.5*33.1/12*1.058</f>
        <v>1409.5469500000002</v>
      </c>
      <c r="I35" s="22"/>
      <c r="J35" s="22"/>
      <c r="K35" s="29"/>
      <c r="L35" s="65">
        <f>1.16*O20</f>
        <v>6208.088</v>
      </c>
    </row>
    <row r="36" spans="1:11" ht="12.75">
      <c r="A36" s="113" t="s">
        <v>394</v>
      </c>
      <c r="B36" s="113"/>
      <c r="C36" s="113"/>
      <c r="D36" s="113"/>
      <c r="E36" s="113"/>
      <c r="F36" s="113"/>
      <c r="G36" s="113"/>
      <c r="H36" s="28">
        <f>O30*2.24*1.107</f>
        <v>11530.512000000002</v>
      </c>
      <c r="I36" s="22"/>
      <c r="J36" s="22"/>
      <c r="K36" s="29"/>
    </row>
    <row r="37" spans="1:11" ht="12.75">
      <c r="A37" s="113" t="s">
        <v>395</v>
      </c>
      <c r="B37" s="113"/>
      <c r="C37" s="113"/>
      <c r="D37" s="113"/>
      <c r="E37" s="113"/>
      <c r="F37" s="113"/>
      <c r="G37" s="113"/>
      <c r="H37" s="28">
        <f>530.2*1.279/12</f>
        <v>56.51048333333333</v>
      </c>
      <c r="I37" s="22"/>
      <c r="J37" s="22"/>
      <c r="K37" s="29"/>
    </row>
    <row r="38" spans="1:11" ht="12.75">
      <c r="A38" s="113" t="s">
        <v>396</v>
      </c>
      <c r="B38" s="113"/>
      <c r="C38" s="113"/>
      <c r="D38" s="113"/>
      <c r="E38" s="113"/>
      <c r="F38" s="113"/>
      <c r="G38" s="113"/>
      <c r="H38" s="28">
        <f>O20*0.0027</f>
        <v>14.449860000000001</v>
      </c>
      <c r="I38" s="22"/>
      <c r="J38" s="22"/>
      <c r="K38" s="29"/>
    </row>
    <row r="39" spans="1:11" ht="12.75">
      <c r="A39" s="113" t="s">
        <v>397</v>
      </c>
      <c r="B39" s="113"/>
      <c r="C39" s="113"/>
      <c r="D39" s="113"/>
      <c r="E39" s="24"/>
      <c r="F39" s="24"/>
      <c r="G39" s="24"/>
      <c r="H39" s="28">
        <f>O20*0.216</f>
        <v>1155.9888</v>
      </c>
      <c r="I39" s="22"/>
      <c r="J39" s="22"/>
      <c r="K39" s="29"/>
    </row>
    <row r="40" spans="1:11" ht="12.75">
      <c r="A40" s="113" t="s">
        <v>329</v>
      </c>
      <c r="B40" s="113"/>
      <c r="C40" s="113"/>
      <c r="D40" s="113"/>
      <c r="E40" s="113"/>
      <c r="F40" s="113"/>
      <c r="G40" s="113"/>
      <c r="H40" s="28">
        <f>O29*4.81/12</f>
        <v>10.822499999999998</v>
      </c>
      <c r="I40" s="22"/>
      <c r="J40" s="22"/>
      <c r="K40" s="29"/>
    </row>
    <row r="41" spans="1:15" ht="12.75">
      <c r="A41" s="113" t="s">
        <v>398</v>
      </c>
      <c r="B41" s="113"/>
      <c r="C41" s="113"/>
      <c r="D41" s="113"/>
      <c r="E41" s="113"/>
      <c r="F41" s="113"/>
      <c r="G41" s="113"/>
      <c r="H41" s="28">
        <f>O41*101.92/12/2</f>
        <v>581.7933333333334</v>
      </c>
      <c r="I41" s="22"/>
      <c r="J41" s="22"/>
      <c r="K41" s="29"/>
      <c r="M41" s="65" t="s">
        <v>399</v>
      </c>
      <c r="O41" s="65">
        <v>137</v>
      </c>
    </row>
    <row r="42" spans="1:11" ht="12.75">
      <c r="A42" s="113" t="s">
        <v>400</v>
      </c>
      <c r="B42" s="113"/>
      <c r="C42" s="113"/>
      <c r="D42" s="113"/>
      <c r="E42" s="113"/>
      <c r="F42" s="113"/>
      <c r="G42" s="113"/>
      <c r="H42" s="28">
        <f>O20*0.027</f>
        <v>144.4986</v>
      </c>
      <c r="I42" s="22"/>
      <c r="J42" s="32"/>
      <c r="K42" s="29"/>
    </row>
    <row r="43" spans="1:11" ht="12.75">
      <c r="A43" s="113" t="s">
        <v>401</v>
      </c>
      <c r="B43" s="113"/>
      <c r="C43" s="113"/>
      <c r="D43" s="113"/>
      <c r="E43" s="113"/>
      <c r="F43" s="113"/>
      <c r="G43" s="113"/>
      <c r="H43" s="28">
        <f>O20*0.0165*1.18*1.142</f>
        <v>118.995881532</v>
      </c>
      <c r="I43" s="22"/>
      <c r="J43" s="22"/>
      <c r="K43" s="29"/>
    </row>
    <row r="44" spans="1:11" ht="12.75">
      <c r="A44" s="113" t="s">
        <v>402</v>
      </c>
      <c r="B44" s="113"/>
      <c r="C44" s="113"/>
      <c r="D44" s="113"/>
      <c r="E44" s="113"/>
      <c r="F44" s="113"/>
      <c r="G44" s="113"/>
      <c r="H44" s="28">
        <f>O20*0.021</f>
        <v>112.38780000000001</v>
      </c>
      <c r="I44" s="22"/>
      <c r="J44" s="22"/>
      <c r="K44" s="29"/>
    </row>
    <row r="45" spans="1:11" ht="12.75">
      <c r="A45" s="113" t="s">
        <v>403</v>
      </c>
      <c r="B45" s="113"/>
      <c r="C45" s="113"/>
      <c r="D45" s="113"/>
      <c r="E45" s="113"/>
      <c r="F45" s="113"/>
      <c r="G45" s="24"/>
      <c r="H45" s="28">
        <f>O20*0.053</f>
        <v>283.6454</v>
      </c>
      <c r="I45" s="22"/>
      <c r="J45" s="22"/>
      <c r="K45" s="29"/>
    </row>
    <row r="46" spans="1:11" ht="12.75">
      <c r="A46" s="113" t="s">
        <v>404</v>
      </c>
      <c r="B46" s="113"/>
      <c r="C46" s="113"/>
      <c r="D46" s="113"/>
      <c r="E46" s="113"/>
      <c r="F46" s="113"/>
      <c r="G46" s="24"/>
      <c r="H46" s="28">
        <f>O20*0.014</f>
        <v>74.9252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5.75">
      <c r="A48" s="86" t="s">
        <v>148</v>
      </c>
      <c r="B48" s="86"/>
      <c r="C48" s="86"/>
      <c r="D48" s="86"/>
      <c r="E48" s="86"/>
      <c r="F48" s="86"/>
      <c r="G48" s="86"/>
      <c r="H48" s="87"/>
      <c r="I48" s="88"/>
      <c r="J48" s="88">
        <v>9460.05</v>
      </c>
      <c r="K48" s="89">
        <f>H50+H51+H52+H53+H54</f>
        <v>11740.895696969696</v>
      </c>
    </row>
    <row r="49" spans="1:11" ht="12.75">
      <c r="A49" s="24"/>
      <c r="B49" s="24" t="s">
        <v>64</v>
      </c>
      <c r="C49" s="24"/>
      <c r="D49" s="24"/>
      <c r="E49" s="24"/>
      <c r="F49" s="24"/>
      <c r="G49" s="24"/>
      <c r="H49" s="28"/>
      <c r="I49" s="22"/>
      <c r="J49" s="22"/>
      <c r="K49" s="29"/>
    </row>
    <row r="50" spans="1:13" ht="12.75">
      <c r="A50" s="113" t="s">
        <v>405</v>
      </c>
      <c r="B50" s="113"/>
      <c r="C50" s="113"/>
      <c r="D50" s="113"/>
      <c r="E50" s="113"/>
      <c r="F50" s="113"/>
      <c r="G50" s="24"/>
      <c r="H50" s="28">
        <f>O20*2.07</f>
        <v>11078.225999999999</v>
      </c>
      <c r="I50" s="22"/>
      <c r="J50" s="22"/>
      <c r="K50" s="29"/>
      <c r="M50" s="65">
        <v>18024</v>
      </c>
    </row>
    <row r="51" spans="1:11" ht="12.75">
      <c r="A51" s="113" t="s">
        <v>337</v>
      </c>
      <c r="B51" s="113"/>
      <c r="C51" s="113"/>
      <c r="D51" s="113"/>
      <c r="E51" s="113"/>
      <c r="F51" s="113"/>
      <c r="G51" s="24"/>
      <c r="H51" s="28">
        <f>1884*2/12</f>
        <v>314</v>
      </c>
      <c r="I51" s="22"/>
      <c r="J51" s="22"/>
      <c r="K51" s="29"/>
    </row>
    <row r="52" spans="1:11" ht="12.75">
      <c r="A52" s="113" t="s">
        <v>338</v>
      </c>
      <c r="B52" s="113"/>
      <c r="C52" s="113"/>
      <c r="D52" s="113"/>
      <c r="E52" s="113"/>
      <c r="F52" s="113"/>
      <c r="G52" s="113"/>
      <c r="H52" s="28">
        <f>1882*2/12</f>
        <v>313.6666666666667</v>
      </c>
      <c r="I52" s="22"/>
      <c r="J52" s="22"/>
      <c r="K52" s="29"/>
    </row>
    <row r="53" spans="1:11" ht="12.75">
      <c r="A53" s="113" t="s">
        <v>339</v>
      </c>
      <c r="B53" s="113"/>
      <c r="C53" s="113"/>
      <c r="D53" s="113"/>
      <c r="E53" s="113"/>
      <c r="F53" s="113"/>
      <c r="G53" s="113"/>
      <c r="H53" s="28">
        <f>56.4*2/2/12</f>
        <v>4.7</v>
      </c>
      <c r="I53" s="22"/>
      <c r="J53" s="22"/>
      <c r="K53" s="29"/>
    </row>
    <row r="54" spans="1:11" ht="12.75">
      <c r="A54" s="24" t="s">
        <v>340</v>
      </c>
      <c r="B54" s="24"/>
      <c r="C54" s="24"/>
      <c r="D54" s="24"/>
      <c r="E54" s="24"/>
      <c r="F54" s="24"/>
      <c r="G54" s="24"/>
      <c r="H54" s="28">
        <f>6000/33*2/12</f>
        <v>30.3030303030303</v>
      </c>
      <c r="I54" s="22"/>
      <c r="J54" s="22"/>
      <c r="K54" s="29"/>
    </row>
    <row r="55" spans="1:13" ht="15.75">
      <c r="A55" s="20" t="s">
        <v>111</v>
      </c>
      <c r="B55" s="20"/>
      <c r="C55" s="20"/>
      <c r="D55" s="20"/>
      <c r="E55" s="20"/>
      <c r="F55" s="20"/>
      <c r="G55" s="20"/>
      <c r="H55" s="27"/>
      <c r="I55" s="20"/>
      <c r="J55" s="20"/>
      <c r="K55" s="21">
        <f>H58+H60+H61+H62+H63+H64+H65</f>
        <v>17197.92407061721</v>
      </c>
      <c r="M55" s="71">
        <f>K55/309084*O20</f>
        <v>297.782641745057</v>
      </c>
    </row>
    <row r="56" spans="1:11" ht="12.75">
      <c r="A56" s="22"/>
      <c r="B56" s="22" t="s">
        <v>64</v>
      </c>
      <c r="C56" s="22"/>
      <c r="D56" s="22"/>
      <c r="E56" s="22"/>
      <c r="F56" s="22"/>
      <c r="G56" s="22"/>
      <c r="H56" s="28"/>
      <c r="I56" s="22"/>
      <c r="J56" s="22"/>
      <c r="K56" s="29"/>
    </row>
    <row r="57" spans="1:11" ht="12.75">
      <c r="A57" s="33" t="s">
        <v>112</v>
      </c>
      <c r="B57" s="33"/>
      <c r="C57" s="33"/>
      <c r="D57" s="33"/>
      <c r="E57" s="33"/>
      <c r="F57" s="33"/>
      <c r="G57" s="33"/>
      <c r="H57" s="34"/>
      <c r="I57" s="33"/>
      <c r="J57" s="33"/>
      <c r="K57" s="35"/>
    </row>
    <row r="58" spans="1:13" ht="12.75">
      <c r="A58" s="111" t="s">
        <v>406</v>
      </c>
      <c r="B58" s="111"/>
      <c r="C58" s="111"/>
      <c r="D58" s="111"/>
      <c r="E58" s="111"/>
      <c r="F58" s="111"/>
      <c r="G58" s="36"/>
      <c r="H58" s="37">
        <f>K292*24.48*165.1*1.5*1.07</f>
        <v>9805.336804568482</v>
      </c>
      <c r="I58" s="38"/>
      <c r="J58" s="38"/>
      <c r="K58" s="35"/>
      <c r="M58" s="69">
        <f>K292</f>
        <v>1.5115725355092626</v>
      </c>
    </row>
    <row r="59" spans="1:11" ht="12.75">
      <c r="A59" s="33" t="s">
        <v>114</v>
      </c>
      <c r="B59" s="33"/>
      <c r="C59" s="33"/>
      <c r="D59" s="33"/>
      <c r="E59" s="33"/>
      <c r="F59" s="33"/>
      <c r="G59" s="33"/>
      <c r="H59" s="34"/>
      <c r="I59" s="33"/>
      <c r="J59" s="33"/>
      <c r="K59" s="35"/>
    </row>
    <row r="60" spans="1:11" ht="12.75">
      <c r="A60" s="39">
        <f>H58</f>
        <v>9805.336804568482</v>
      </c>
      <c r="B60" s="36" t="s">
        <v>115</v>
      </c>
      <c r="C60" s="36"/>
      <c r="D60" s="36"/>
      <c r="E60" s="36"/>
      <c r="F60" s="36"/>
      <c r="G60" s="38"/>
      <c r="H60" s="37">
        <f>H58*14.2%</f>
        <v>1392.3578262487242</v>
      </c>
      <c r="I60" s="38"/>
      <c r="J60" s="38"/>
      <c r="K60" s="35"/>
    </row>
    <row r="61" spans="1:11" ht="12.75">
      <c r="A61" s="30" t="s">
        <v>407</v>
      </c>
      <c r="B61" s="30"/>
      <c r="C61" s="30"/>
      <c r="D61" s="30"/>
      <c r="E61" s="30"/>
      <c r="F61" s="40"/>
      <c r="G61" s="40"/>
      <c r="H61" s="37">
        <f>0.04*O20</f>
        <v>214.072</v>
      </c>
      <c r="I61" s="38"/>
      <c r="J61" s="38"/>
      <c r="K61" s="35"/>
    </row>
    <row r="62" spans="1:11" ht="12.75">
      <c r="A62" s="108" t="s">
        <v>408</v>
      </c>
      <c r="B62" s="108"/>
      <c r="C62" s="108"/>
      <c r="D62" s="108"/>
      <c r="E62" s="108"/>
      <c r="F62" s="108"/>
      <c r="G62" s="108"/>
      <c r="H62" s="37">
        <f>0.97*O20</f>
        <v>5191.246</v>
      </c>
      <c r="I62" s="38"/>
      <c r="J62" s="38"/>
      <c r="K62" s="35"/>
    </row>
    <row r="63" spans="1:11" ht="12.75">
      <c r="A63" s="90" t="s">
        <v>409</v>
      </c>
      <c r="B63" s="90"/>
      <c r="C63" s="90"/>
      <c r="D63" s="90"/>
      <c r="E63" s="90"/>
      <c r="F63" s="30"/>
      <c r="G63" s="30"/>
      <c r="H63" s="37">
        <f>0.0037*O20</f>
        <v>19.801660000000002</v>
      </c>
      <c r="I63" s="38"/>
      <c r="J63" s="38"/>
      <c r="K63" s="35"/>
    </row>
    <row r="64" spans="1:12" ht="12.75">
      <c r="A64" s="108" t="s">
        <v>410</v>
      </c>
      <c r="B64" s="108"/>
      <c r="C64" s="108"/>
      <c r="D64" s="108"/>
      <c r="E64" s="108"/>
      <c r="F64" s="108"/>
      <c r="G64" s="108"/>
      <c r="H64" s="37">
        <f>O20*0.082</f>
        <v>438.84760000000006</v>
      </c>
      <c r="I64" s="38"/>
      <c r="J64" s="38"/>
      <c r="K64" s="35"/>
      <c r="L64" s="69"/>
    </row>
    <row r="65" spans="1:13" ht="12.75">
      <c r="A65" s="108" t="s">
        <v>411</v>
      </c>
      <c r="B65" s="108"/>
      <c r="C65" s="108"/>
      <c r="D65" s="108"/>
      <c r="E65" s="108"/>
      <c r="F65" s="108"/>
      <c r="G65" s="108"/>
      <c r="H65" s="31">
        <f>O20*0.023*1.107</f>
        <v>136.2621798</v>
      </c>
      <c r="I65" s="33"/>
      <c r="J65" s="33"/>
      <c r="K65" s="35"/>
      <c r="M65" s="65">
        <f>36646.37/309083*O20</f>
        <v>634.5351991730378</v>
      </c>
    </row>
    <row r="66" spans="1:11" ht="12.75">
      <c r="A66" s="38"/>
      <c r="B66" s="38"/>
      <c r="C66" s="38"/>
      <c r="D66" s="40"/>
      <c r="E66" s="40"/>
      <c r="F66" s="40"/>
      <c r="G66" s="38"/>
      <c r="H66" s="37"/>
      <c r="I66" s="40"/>
      <c r="J66" s="40"/>
      <c r="K66" s="122"/>
    </row>
    <row r="67" spans="1:15" ht="15.75">
      <c r="A67" s="110" t="s">
        <v>121</v>
      </c>
      <c r="B67" s="110"/>
      <c r="C67" s="110"/>
      <c r="D67" s="110"/>
      <c r="E67" s="42"/>
      <c r="F67" s="42"/>
      <c r="G67" s="20"/>
      <c r="H67" s="27"/>
      <c r="I67" s="20"/>
      <c r="J67" s="20"/>
      <c r="K67" s="21">
        <f>H69+H70+H71+H72</f>
        <v>4403.99622</v>
      </c>
      <c r="M67" s="72">
        <f>51932.37/301083*O20</f>
        <v>923.1064449537171</v>
      </c>
      <c r="O67" s="65">
        <v>4536.42</v>
      </c>
    </row>
    <row r="68" spans="1:11" ht="12.75">
      <c r="A68" s="111" t="s">
        <v>122</v>
      </c>
      <c r="B68" s="111"/>
      <c r="C68" s="111"/>
      <c r="D68" s="111"/>
      <c r="E68" s="111"/>
      <c r="F68" s="111"/>
      <c r="G68" s="36"/>
      <c r="H68" s="37"/>
      <c r="I68" s="36"/>
      <c r="J68" s="36"/>
      <c r="K68" s="91"/>
    </row>
    <row r="69" spans="1:11" ht="12.75">
      <c r="A69" s="36" t="s">
        <v>412</v>
      </c>
      <c r="B69" s="36"/>
      <c r="C69" s="36"/>
      <c r="D69" s="36"/>
      <c r="E69" s="36"/>
      <c r="F69" s="36"/>
      <c r="G69" s="36"/>
      <c r="H69" s="37">
        <f>0.2227*O20</f>
        <v>1191.8458600000001</v>
      </c>
      <c r="I69" s="36"/>
      <c r="J69" s="36"/>
      <c r="K69" s="91"/>
    </row>
    <row r="70" spans="1:11" ht="12.75">
      <c r="A70" s="30" t="s">
        <v>413</v>
      </c>
      <c r="B70" s="43"/>
      <c r="C70" s="30"/>
      <c r="D70" s="30"/>
      <c r="E70" s="44"/>
      <c r="F70" s="38"/>
      <c r="G70" s="38"/>
      <c r="H70" s="37">
        <f>0.0257*O20</f>
        <v>137.54126</v>
      </c>
      <c r="I70" s="38"/>
      <c r="J70" s="38"/>
      <c r="K70" s="91"/>
    </row>
    <row r="71" spans="1:11" ht="12.75">
      <c r="A71" s="111" t="s">
        <v>414</v>
      </c>
      <c r="B71" s="111"/>
      <c r="C71" s="111"/>
      <c r="D71" s="111"/>
      <c r="E71" s="111"/>
      <c r="F71" s="38"/>
      <c r="G71" s="38"/>
      <c r="H71" s="37">
        <f>0.0945*O20</f>
        <v>505.74510000000004</v>
      </c>
      <c r="I71" s="38"/>
      <c r="J71" s="38"/>
      <c r="K71" s="91"/>
    </row>
    <row r="72" spans="1:11" ht="12.75">
      <c r="A72" s="36" t="s">
        <v>415</v>
      </c>
      <c r="B72" s="36"/>
      <c r="C72" s="36"/>
      <c r="D72" s="36"/>
      <c r="E72" s="36"/>
      <c r="F72" s="38"/>
      <c r="G72" s="38"/>
      <c r="H72" s="37">
        <f>0.48*O20</f>
        <v>2568.864</v>
      </c>
      <c r="I72" s="38"/>
      <c r="J72" s="38"/>
      <c r="K72" s="91"/>
    </row>
    <row r="73" spans="1:11" ht="12.75">
      <c r="A73" s="30"/>
      <c r="B73" s="30"/>
      <c r="C73" s="30"/>
      <c r="D73" s="30"/>
      <c r="E73" s="30"/>
      <c r="F73" s="30"/>
      <c r="G73" s="30"/>
      <c r="H73" s="37"/>
      <c r="I73" s="38"/>
      <c r="J73" s="38"/>
      <c r="K73" s="35"/>
    </row>
    <row r="74" spans="1:13" ht="15.75">
      <c r="A74" s="26" t="s">
        <v>127</v>
      </c>
      <c r="B74" s="26"/>
      <c r="C74" s="26"/>
      <c r="D74" s="26"/>
      <c r="E74" s="26"/>
      <c r="F74" s="26"/>
      <c r="G74" s="26"/>
      <c r="H74" s="46"/>
      <c r="I74" s="20"/>
      <c r="J74" s="20"/>
      <c r="K74" s="21">
        <f>O20*0.944</f>
        <v>5052.0992</v>
      </c>
      <c r="M74" s="71">
        <f>231179.9/309083*O20</f>
        <v>4002.9008027617174</v>
      </c>
    </row>
    <row r="75" spans="1:11" ht="15.75">
      <c r="A75" s="47"/>
      <c r="B75" s="47"/>
      <c r="C75" s="112" t="s">
        <v>64</v>
      </c>
      <c r="D75" s="112"/>
      <c r="E75" s="47"/>
      <c r="F75" s="47"/>
      <c r="G75" s="47"/>
      <c r="H75" s="48"/>
      <c r="I75" s="47"/>
      <c r="J75" s="47"/>
      <c r="K75" s="49"/>
    </row>
    <row r="76" spans="1:11" ht="12.75">
      <c r="A76" s="30" t="s">
        <v>128</v>
      </c>
      <c r="B76" s="30"/>
      <c r="C76" s="30"/>
      <c r="D76" s="30"/>
      <c r="E76" s="30"/>
      <c r="F76" s="30"/>
      <c r="G76" s="30"/>
      <c r="H76" s="37"/>
      <c r="I76" s="38"/>
      <c r="J76" s="38"/>
      <c r="K76" s="35"/>
    </row>
    <row r="77" spans="1:11" ht="12.75">
      <c r="A77" s="30" t="s">
        <v>129</v>
      </c>
      <c r="B77" s="43"/>
      <c r="C77" s="30"/>
      <c r="D77" s="30"/>
      <c r="E77" s="30"/>
      <c r="F77" s="44"/>
      <c r="G77" s="44"/>
      <c r="H77" s="37"/>
      <c r="I77" s="38"/>
      <c r="J77" s="38"/>
      <c r="K77" s="35"/>
    </row>
    <row r="78" spans="1:11" ht="12.75">
      <c r="A78" s="108" t="s">
        <v>130</v>
      </c>
      <c r="B78" s="108"/>
      <c r="C78" s="108"/>
      <c r="D78" s="108"/>
      <c r="E78" s="108"/>
      <c r="F78" s="108"/>
      <c r="G78" s="44"/>
      <c r="H78" s="37"/>
      <c r="I78" s="38"/>
      <c r="J78" s="38"/>
      <c r="K78" s="35"/>
    </row>
    <row r="79" spans="1:11" ht="12.75">
      <c r="A79" s="108" t="s">
        <v>131</v>
      </c>
      <c r="B79" s="108"/>
      <c r="C79" s="108"/>
      <c r="D79" s="108"/>
      <c r="E79" s="108"/>
      <c r="F79" s="108"/>
      <c r="G79" s="108"/>
      <c r="H79" s="37"/>
      <c r="I79" s="38"/>
      <c r="J79" s="38"/>
      <c r="K79" s="35"/>
    </row>
    <row r="80" spans="1:11" ht="12.75">
      <c r="A80" s="108" t="s">
        <v>132</v>
      </c>
      <c r="B80" s="108"/>
      <c r="C80" s="108"/>
      <c r="D80" s="108"/>
      <c r="E80" s="109"/>
      <c r="F80" s="109"/>
      <c r="G80" s="109"/>
      <c r="H80" s="37"/>
      <c r="I80" s="38"/>
      <c r="J80" s="38"/>
      <c r="K80" s="35"/>
    </row>
    <row r="81" spans="1:11" ht="12.75">
      <c r="A81" s="108" t="s">
        <v>133</v>
      </c>
      <c r="B81" s="108"/>
      <c r="C81" s="108"/>
      <c r="D81" s="108"/>
      <c r="E81" s="108"/>
      <c r="F81" s="44"/>
      <c r="G81" s="44"/>
      <c r="H81" s="37"/>
      <c r="I81" s="38"/>
      <c r="J81" s="38"/>
      <c r="K81" s="35"/>
    </row>
    <row r="82" spans="1:14" ht="12.75">
      <c r="A82" s="44" t="s">
        <v>134</v>
      </c>
      <c r="B82" s="44"/>
      <c r="C82" s="44"/>
      <c r="D82" s="44"/>
      <c r="E82" s="44"/>
      <c r="F82" s="44"/>
      <c r="G82" s="44"/>
      <c r="H82" s="37"/>
      <c r="I82" s="38"/>
      <c r="J82" s="38"/>
      <c r="K82" s="35"/>
      <c r="N82" s="69">
        <f>K17+K32+K48+K55+K67+K74</f>
        <v>69876.78499157343</v>
      </c>
    </row>
    <row r="83" spans="1:14" ht="12.75">
      <c r="A83" s="22"/>
      <c r="B83" s="22"/>
      <c r="C83" s="22"/>
      <c r="D83" s="22"/>
      <c r="E83" s="22"/>
      <c r="F83" s="22"/>
      <c r="G83" s="22"/>
      <c r="H83" s="28"/>
      <c r="I83" s="22"/>
      <c r="J83" s="22"/>
      <c r="K83" s="29"/>
      <c r="N83" s="65">
        <f>E13*97%</f>
        <v>0</v>
      </c>
    </row>
    <row r="84" spans="1:14" ht="15.75">
      <c r="A84" s="20" t="s">
        <v>135</v>
      </c>
      <c r="B84" s="20"/>
      <c r="C84" s="20"/>
      <c r="D84" s="20"/>
      <c r="E84" s="20"/>
      <c r="F84" s="51"/>
      <c r="G84" s="51"/>
      <c r="H84" s="52"/>
      <c r="I84" s="51"/>
      <c r="J84" s="51"/>
      <c r="K84" s="21">
        <f>0.0205*O20</f>
        <v>109.71190000000001</v>
      </c>
      <c r="L84" s="72">
        <f>(E13-(K17+K32+K48+K55+K67+K74))*0.15</f>
        <v>-10481.517748736014</v>
      </c>
      <c r="M84" s="72">
        <v>113.74</v>
      </c>
      <c r="N84" s="65">
        <f>(E13-N82)*0.15</f>
        <v>-10481.517748736014</v>
      </c>
    </row>
    <row r="85" spans="1:13" ht="15.75">
      <c r="A85" s="54"/>
      <c r="B85" s="54"/>
      <c r="C85" s="54"/>
      <c r="D85" s="54"/>
      <c r="E85" s="54"/>
      <c r="F85" s="53"/>
      <c r="G85" s="53"/>
      <c r="H85" s="55"/>
      <c r="I85" s="53"/>
      <c r="J85" s="53"/>
      <c r="K85" s="56"/>
      <c r="L85" s="72"/>
      <c r="M85" s="72"/>
    </row>
    <row r="86" spans="1:13" ht="15.75">
      <c r="A86" s="54" t="s">
        <v>416</v>
      </c>
      <c r="B86" s="54"/>
      <c r="C86" s="54"/>
      <c r="D86" s="54"/>
      <c r="E86" s="54"/>
      <c r="F86" s="53"/>
      <c r="G86" s="53"/>
      <c r="H86" s="55"/>
      <c r="I86" s="53"/>
      <c r="J86" s="53"/>
      <c r="K86" s="56">
        <v>1399.73</v>
      </c>
      <c r="L86" s="72"/>
      <c r="M86" s="72"/>
    </row>
    <row r="87" spans="1:13" ht="15.75">
      <c r="A87" s="54"/>
      <c r="B87" s="54"/>
      <c r="C87" s="54"/>
      <c r="D87" s="54"/>
      <c r="E87" s="54"/>
      <c r="F87" s="53"/>
      <c r="G87" s="53"/>
      <c r="H87" s="55"/>
      <c r="I87" s="53"/>
      <c r="J87" s="53"/>
      <c r="K87" s="56"/>
      <c r="L87" s="72"/>
      <c r="M87" s="72"/>
    </row>
    <row r="88" spans="1:11" ht="15.75">
      <c r="A88" s="57" t="s">
        <v>136</v>
      </c>
      <c r="B88" s="57"/>
      <c r="C88" s="57"/>
      <c r="D88" s="58"/>
      <c r="E88" s="58"/>
      <c r="F88" s="58"/>
      <c r="G88" s="58"/>
      <c r="H88" s="59"/>
      <c r="I88" s="58"/>
      <c r="J88" s="58"/>
      <c r="K88" s="60">
        <v>4283.17</v>
      </c>
    </row>
    <row r="89" spans="1:11" ht="15.75">
      <c r="A89" s="57"/>
      <c r="B89" s="57"/>
      <c r="C89" s="57"/>
      <c r="D89" s="58"/>
      <c r="E89" s="58"/>
      <c r="F89" s="58"/>
      <c r="G89" s="58"/>
      <c r="H89" s="59"/>
      <c r="I89" s="58"/>
      <c r="J89" s="58"/>
      <c r="K89" s="60"/>
    </row>
    <row r="90" spans="1:11" ht="15.75">
      <c r="A90" s="63" t="s">
        <v>137</v>
      </c>
      <c r="B90" s="63"/>
      <c r="C90" s="63"/>
      <c r="D90" s="63"/>
      <c r="E90" s="63"/>
      <c r="F90" s="63"/>
      <c r="G90" s="63"/>
      <c r="H90" s="63"/>
      <c r="I90" s="63"/>
      <c r="J90" s="63"/>
      <c r="K90" s="64">
        <v>75669.4</v>
      </c>
    </row>
    <row r="91" spans="1:11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4"/>
    </row>
    <row r="92" spans="1:12" ht="15.75">
      <c r="A92" s="63" t="s">
        <v>138</v>
      </c>
      <c r="B92" s="63"/>
      <c r="C92" s="63"/>
      <c r="D92" s="63"/>
      <c r="E92" s="63"/>
      <c r="F92" s="63"/>
      <c r="G92" s="63"/>
      <c r="H92" s="63"/>
      <c r="I92" s="63"/>
      <c r="J92" s="63"/>
      <c r="K92" s="64">
        <f>K90/O20</f>
        <v>14.139056018535818</v>
      </c>
      <c r="L92" s="65" t="s">
        <v>70</v>
      </c>
    </row>
    <row r="93" spans="1:11" ht="15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4"/>
    </row>
    <row r="94" spans="1:11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4"/>
    </row>
    <row r="95" spans="1:11" ht="15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4"/>
    </row>
    <row r="96" spans="1:11" ht="15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t="15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4"/>
    </row>
    <row r="98" spans="7:11" ht="12.75">
      <c r="G98" s="128"/>
      <c r="H98" s="128"/>
      <c r="I98" s="128"/>
      <c r="J98" s="128"/>
      <c r="K98" s="128"/>
    </row>
    <row r="104" spans="3:9" s="65" customFormat="1" ht="15.75">
      <c r="C104" s="106" t="s">
        <v>139</v>
      </c>
      <c r="D104" s="107"/>
      <c r="E104" s="107"/>
      <c r="F104" s="107"/>
      <c r="G104" s="107"/>
      <c r="H104" s="107"/>
      <c r="I104" s="107"/>
    </row>
    <row r="105" spans="3:9" s="65" customFormat="1" ht="15.75">
      <c r="C105" s="74" t="s">
        <v>140</v>
      </c>
      <c r="D105" s="74" t="s">
        <v>141</v>
      </c>
      <c r="E105" s="74"/>
      <c r="F105" s="74"/>
      <c r="G105" s="75"/>
      <c r="H105" s="75"/>
      <c r="I105" s="75"/>
    </row>
    <row r="106" s="65" customFormat="1" ht="12.75"/>
    <row r="107" s="65" customFormat="1" ht="12.75">
      <c r="E107" s="65" t="s">
        <v>142</v>
      </c>
    </row>
    <row r="108" spans="5:8" s="65" customFormat="1" ht="12.75">
      <c r="E108" s="65" t="s">
        <v>143</v>
      </c>
      <c r="H108" s="65">
        <v>1200</v>
      </c>
    </row>
    <row r="109" spans="5:8" s="65" customFormat="1" ht="12.75">
      <c r="E109" s="65" t="s">
        <v>144</v>
      </c>
      <c r="H109" s="65">
        <v>1324</v>
      </c>
    </row>
    <row r="110" spans="5:8" s="65" customFormat="1" ht="12.75">
      <c r="E110" s="65" t="s">
        <v>145</v>
      </c>
      <c r="H110" s="65">
        <v>332</v>
      </c>
    </row>
    <row r="111" spans="5:8" s="65" customFormat="1" ht="12.75">
      <c r="E111" s="65" t="s">
        <v>146</v>
      </c>
      <c r="H111" s="65">
        <v>5351.8</v>
      </c>
    </row>
    <row r="112" s="65" customFormat="1" ht="12.75"/>
    <row r="113" spans="1:11" s="65" customFormat="1" ht="15.75">
      <c r="A113" s="105" t="s">
        <v>72</v>
      </c>
      <c r="B113" s="105"/>
      <c r="C113" s="105"/>
      <c r="D113" s="105"/>
      <c r="E113" s="105"/>
      <c r="F113" s="105"/>
      <c r="G113" s="105"/>
      <c r="H113" s="76" t="e">
        <f>H115+H117+H119+H121+H123+H125+H127</f>
        <v>#REF!</v>
      </c>
      <c r="I113" s="77" t="s">
        <v>70</v>
      </c>
      <c r="K113" s="78" t="e">
        <f>H113-20000</f>
        <v>#REF!</v>
      </c>
    </row>
    <row r="114" spans="1:7" s="65" customFormat="1" ht="12.75">
      <c r="A114" s="79"/>
      <c r="B114" s="79"/>
      <c r="C114" s="79"/>
      <c r="D114" s="79"/>
      <c r="E114" s="79"/>
      <c r="F114" s="79"/>
      <c r="G114" s="79"/>
    </row>
    <row r="115" spans="1:8" s="65" customFormat="1" ht="15.75">
      <c r="A115" s="80" t="s">
        <v>147</v>
      </c>
      <c r="B115" s="80"/>
      <c r="C115" s="80"/>
      <c r="D115" s="80"/>
      <c r="E115" s="80"/>
      <c r="F115" s="80"/>
      <c r="G115" s="80"/>
      <c r="H115" s="78">
        <f>K17</f>
        <v>12142.412645787848</v>
      </c>
    </row>
    <row r="116" spans="1:8" s="65" customFormat="1" ht="12.75">
      <c r="A116" s="79"/>
      <c r="B116" s="79"/>
      <c r="C116" s="79"/>
      <c r="D116" s="79"/>
      <c r="E116" s="79"/>
      <c r="F116" s="79"/>
      <c r="G116" s="79"/>
      <c r="H116" s="78"/>
    </row>
    <row r="117" spans="1:8" s="65" customFormat="1" ht="15.75">
      <c r="A117" s="105" t="s">
        <v>95</v>
      </c>
      <c r="B117" s="105"/>
      <c r="C117" s="105"/>
      <c r="D117" s="105"/>
      <c r="E117" s="105"/>
      <c r="F117" s="80"/>
      <c r="G117" s="80"/>
      <c r="H117" s="78">
        <f>K32</f>
        <v>19339.457158198667</v>
      </c>
    </row>
    <row r="118" spans="1:8" s="65" customFormat="1" ht="12.75">
      <c r="A118" s="79"/>
      <c r="B118" s="79"/>
      <c r="C118" s="79"/>
      <c r="D118" s="79"/>
      <c r="E118" s="79"/>
      <c r="F118" s="79"/>
      <c r="G118" s="79"/>
      <c r="H118" s="78"/>
    </row>
    <row r="119" spans="1:8" s="65" customFormat="1" ht="15.75">
      <c r="A119" s="105" t="s">
        <v>148</v>
      </c>
      <c r="B119" s="105"/>
      <c r="C119" s="105"/>
      <c r="D119" s="105"/>
      <c r="E119" s="105"/>
      <c r="F119" s="105"/>
      <c r="G119" s="105"/>
      <c r="H119" s="81" t="e">
        <f>#REF!</f>
        <v>#REF!</v>
      </c>
    </row>
    <row r="120" spans="1:8" s="65" customFormat="1" ht="12.75">
      <c r="A120" s="79"/>
      <c r="B120" s="79"/>
      <c r="C120" s="79"/>
      <c r="D120" s="79"/>
      <c r="E120" s="79"/>
      <c r="F120" s="79"/>
      <c r="G120" s="79"/>
      <c r="H120" s="82"/>
    </row>
    <row r="121" spans="1:8" s="65" customFormat="1" ht="15.75">
      <c r="A121" s="80" t="s">
        <v>111</v>
      </c>
      <c r="B121" s="80"/>
      <c r="C121" s="80"/>
      <c r="D121" s="80"/>
      <c r="E121" s="80"/>
      <c r="F121" s="80"/>
      <c r="G121" s="80"/>
      <c r="H121" s="82">
        <f>M55</f>
        <v>297.782641745057</v>
      </c>
    </row>
    <row r="122" spans="1:8" s="65" customFormat="1" ht="12.75">
      <c r="A122" s="79"/>
      <c r="B122" s="79"/>
      <c r="C122" s="79"/>
      <c r="D122" s="79"/>
      <c r="E122" s="79"/>
      <c r="F122" s="79"/>
      <c r="G122" s="79"/>
      <c r="H122" s="82"/>
    </row>
    <row r="123" spans="1:8" s="65" customFormat="1" ht="15.75">
      <c r="A123" s="105" t="s">
        <v>149</v>
      </c>
      <c r="B123" s="105"/>
      <c r="C123" s="105"/>
      <c r="D123" s="105"/>
      <c r="E123" s="80"/>
      <c r="F123" s="80"/>
      <c r="G123" s="80"/>
      <c r="H123" s="81">
        <f>M67</f>
        <v>923.1064449537171</v>
      </c>
    </row>
    <row r="124" spans="1:8" s="65" customFormat="1" ht="12.75">
      <c r="A124" s="79"/>
      <c r="B124" s="79"/>
      <c r="C124" s="79"/>
      <c r="D124" s="79"/>
      <c r="E124" s="79"/>
      <c r="F124" s="79"/>
      <c r="G124" s="79"/>
      <c r="H124" s="82"/>
    </row>
    <row r="125" spans="1:8" s="65" customFormat="1" ht="15.75">
      <c r="A125" s="83" t="s">
        <v>127</v>
      </c>
      <c r="B125" s="83"/>
      <c r="C125" s="83"/>
      <c r="D125" s="83"/>
      <c r="E125" s="83"/>
      <c r="F125" s="83"/>
      <c r="G125" s="83"/>
      <c r="H125" s="81">
        <f>M74</f>
        <v>4002.9008027617174</v>
      </c>
    </row>
    <row r="126" spans="1:8" s="65" customFormat="1" ht="12.75">
      <c r="A126" s="79"/>
      <c r="B126" s="79"/>
      <c r="C126" s="79"/>
      <c r="D126" s="79"/>
      <c r="E126" s="79"/>
      <c r="F126" s="79"/>
      <c r="G126" s="79"/>
      <c r="H126" s="82"/>
    </row>
    <row r="127" spans="1:8" s="65" customFormat="1" ht="15.75">
      <c r="A127" s="80" t="s">
        <v>150</v>
      </c>
      <c r="B127" s="80"/>
      <c r="C127" s="80"/>
      <c r="D127" s="80"/>
      <c r="E127" s="80"/>
      <c r="F127" s="84"/>
      <c r="G127" s="84"/>
      <c r="H127" s="81">
        <f>L84</f>
        <v>-10481.517748736014</v>
      </c>
    </row>
    <row r="128" s="65" customFormat="1" ht="12.75"/>
    <row r="129" s="65" customFormat="1" ht="12.75"/>
    <row r="130" s="65" customFormat="1" ht="12.75">
      <c r="H130" s="65" t="s">
        <v>151</v>
      </c>
    </row>
    <row r="131" s="65" customFormat="1" ht="12.75">
      <c r="H131" s="65" t="s">
        <v>146</v>
      </c>
    </row>
    <row r="132" s="65" customFormat="1" ht="12.75">
      <c r="H132" s="65" t="s">
        <v>152</v>
      </c>
    </row>
    <row r="133" s="65" customFormat="1" ht="12.75"/>
    <row r="134" s="65" customFormat="1" ht="12.75"/>
    <row r="135" s="65" customFormat="1" ht="12.75">
      <c r="F135" s="65" t="s">
        <v>153</v>
      </c>
    </row>
    <row r="136" s="65" customFormat="1" ht="12.75">
      <c r="D136" s="65" t="s">
        <v>154</v>
      </c>
    </row>
    <row r="137" s="65" customFormat="1" ht="12.75">
      <c r="D137" s="65" t="s">
        <v>155</v>
      </c>
    </row>
    <row r="138" spans="6:13" s="65" customFormat="1" ht="12.75">
      <c r="F138" s="65" t="s">
        <v>156</v>
      </c>
      <c r="M138" s="65" t="s">
        <v>157</v>
      </c>
    </row>
    <row r="139" s="65" customFormat="1" ht="12.75">
      <c r="M139" s="65" t="s">
        <v>158</v>
      </c>
    </row>
    <row r="140" spans="1:13" s="65" customFormat="1" ht="12.75">
      <c r="A140" s="65" t="s">
        <v>159</v>
      </c>
      <c r="B140" s="65" t="s">
        <v>160</v>
      </c>
      <c r="D140" s="65" t="s">
        <v>161</v>
      </c>
      <c r="F140" s="65" t="s">
        <v>162</v>
      </c>
      <c r="G140" s="65" t="s">
        <v>163</v>
      </c>
      <c r="H140" s="65" t="s">
        <v>164</v>
      </c>
      <c r="J140" s="65" t="s">
        <v>165</v>
      </c>
      <c r="M140" s="73" t="s">
        <v>166</v>
      </c>
    </row>
    <row r="141" spans="1:14" s="65" customFormat="1" ht="12.75">
      <c r="A141" s="65" t="s">
        <v>167</v>
      </c>
      <c r="B141" s="65" t="s">
        <v>168</v>
      </c>
      <c r="D141" s="65" t="s">
        <v>169</v>
      </c>
      <c r="F141" s="65" t="s">
        <v>170</v>
      </c>
      <c r="G141" s="65" t="s">
        <v>171</v>
      </c>
      <c r="H141" s="65" t="s">
        <v>172</v>
      </c>
      <c r="J141" s="65" t="s">
        <v>173</v>
      </c>
      <c r="M141" s="65" t="s">
        <v>174</v>
      </c>
      <c r="N141" s="65">
        <v>5776.9</v>
      </c>
    </row>
    <row r="142" spans="8:9" s="65" customFormat="1" ht="12.75">
      <c r="H142" s="65" t="s">
        <v>175</v>
      </c>
      <c r="I142" s="65" t="s">
        <v>176</v>
      </c>
    </row>
    <row r="143" spans="8:13" s="65" customFormat="1" ht="12.75">
      <c r="H143" s="65" t="s">
        <v>170</v>
      </c>
      <c r="I143" s="65" t="s">
        <v>177</v>
      </c>
      <c r="M143" s="65" t="s">
        <v>178</v>
      </c>
    </row>
    <row r="144" spans="9:13" s="65" customFormat="1" ht="12.75">
      <c r="I144" s="65" t="s">
        <v>179</v>
      </c>
      <c r="M144" s="65" t="s">
        <v>158</v>
      </c>
    </row>
    <row r="145" s="65" customFormat="1" ht="12.75">
      <c r="M145" s="73" t="s">
        <v>166</v>
      </c>
    </row>
    <row r="146" spans="1:14" s="65" customFormat="1" ht="12.75">
      <c r="A146" s="65" t="s">
        <v>180</v>
      </c>
      <c r="B146" s="65" t="s">
        <v>181</v>
      </c>
      <c r="D146" s="65" t="s">
        <v>182</v>
      </c>
      <c r="M146" s="65" t="s">
        <v>174</v>
      </c>
      <c r="N146" s="65">
        <v>543.2</v>
      </c>
    </row>
    <row r="147" spans="2:4" s="65" customFormat="1" ht="12.75">
      <c r="B147" s="65" t="s">
        <v>183</v>
      </c>
      <c r="D147" s="65" t="s">
        <v>184</v>
      </c>
    </row>
    <row r="148" spans="2:13" s="65" customFormat="1" ht="12.75">
      <c r="B148" s="65" t="s">
        <v>185</v>
      </c>
      <c r="D148" s="65" t="s">
        <v>186</v>
      </c>
      <c r="M148" s="65" t="s">
        <v>187</v>
      </c>
    </row>
    <row r="149" spans="2:13" s="65" customFormat="1" ht="12.75">
      <c r="B149" s="65" t="s">
        <v>188</v>
      </c>
      <c r="D149" s="65" t="s">
        <v>189</v>
      </c>
      <c r="M149" s="65" t="s">
        <v>158</v>
      </c>
    </row>
    <row r="150" spans="2:13" s="65" customFormat="1" ht="12.75">
      <c r="B150" s="65" t="s">
        <v>190</v>
      </c>
      <c r="M150" s="73" t="s">
        <v>166</v>
      </c>
    </row>
    <row r="151" spans="4:14" s="65" customFormat="1" ht="12.75">
      <c r="D151" s="65" t="s">
        <v>191</v>
      </c>
      <c r="M151" s="65" t="s">
        <v>174</v>
      </c>
      <c r="N151" s="65">
        <v>901.4</v>
      </c>
    </row>
    <row r="152" spans="4:6" s="65" customFormat="1" ht="12.75">
      <c r="D152" s="65" t="s">
        <v>192</v>
      </c>
      <c r="F152" s="65" t="s">
        <v>193</v>
      </c>
    </row>
    <row r="153" spans="4:13" s="65" customFormat="1" ht="12.75">
      <c r="D153" s="65" t="s">
        <v>158</v>
      </c>
      <c r="F153" s="65" t="s">
        <v>194</v>
      </c>
      <c r="H153" s="65">
        <v>0.0687</v>
      </c>
      <c r="I153" s="65">
        <v>0</v>
      </c>
      <c r="K153" s="65">
        <f>N144/1000*H153</f>
        <v>0</v>
      </c>
      <c r="M153" s="65" t="s">
        <v>195</v>
      </c>
    </row>
    <row r="154" spans="4:13" s="65" customFormat="1" ht="12.75">
      <c r="D154" s="65" t="s">
        <v>196</v>
      </c>
      <c r="F154" s="65" t="s">
        <v>197</v>
      </c>
      <c r="H154" s="65">
        <v>0.0763</v>
      </c>
      <c r="I154" s="65">
        <v>0</v>
      </c>
      <c r="K154" s="65">
        <f>N145/1000*H154</f>
        <v>0</v>
      </c>
      <c r="M154" s="65" t="s">
        <v>158</v>
      </c>
    </row>
    <row r="155" spans="4:13" s="65" customFormat="1" ht="12.75">
      <c r="D155" s="65" t="s">
        <v>198</v>
      </c>
      <c r="F155" s="65" t="s">
        <v>199</v>
      </c>
      <c r="H155" s="65">
        <v>0.0839</v>
      </c>
      <c r="I155" s="65">
        <v>0</v>
      </c>
      <c r="K155" s="69">
        <f>N146/1000*H155</f>
        <v>0.04557448</v>
      </c>
      <c r="M155" s="73" t="s">
        <v>166</v>
      </c>
    </row>
    <row r="156" spans="6:13" s="65" customFormat="1" ht="12.75">
      <c r="F156" s="65" t="s">
        <v>200</v>
      </c>
      <c r="M156" s="65" t="s">
        <v>174</v>
      </c>
    </row>
    <row r="157" s="65" customFormat="1" ht="12.75">
      <c r="F157" s="65" t="s">
        <v>190</v>
      </c>
    </row>
    <row r="158" spans="5:9" s="65" customFormat="1" ht="12.75">
      <c r="E158" s="65" t="s">
        <v>201</v>
      </c>
      <c r="I158" s="65">
        <v>0</v>
      </c>
    </row>
    <row r="159" spans="2:4" s="65" customFormat="1" ht="12.75">
      <c r="B159" s="65" t="s">
        <v>202</v>
      </c>
      <c r="D159" s="65" t="s">
        <v>203</v>
      </c>
    </row>
    <row r="160" s="65" customFormat="1" ht="12.75">
      <c r="D160" s="65" t="s">
        <v>204</v>
      </c>
    </row>
    <row r="161" s="65" customFormat="1" ht="12.75">
      <c r="D161" s="65" t="s">
        <v>205</v>
      </c>
    </row>
    <row r="162" s="65" customFormat="1" ht="12.75">
      <c r="D162" s="65" t="s">
        <v>191</v>
      </c>
    </row>
    <row r="163" spans="4:11" s="65" customFormat="1" ht="12.75">
      <c r="D163" s="65" t="s">
        <v>158</v>
      </c>
      <c r="H163" s="65">
        <v>0.00338</v>
      </c>
      <c r="K163" s="69">
        <f>N167/1000*H163</f>
        <v>0</v>
      </c>
    </row>
    <row r="164" spans="4:11" s="65" customFormat="1" ht="12.75">
      <c r="D164" s="65" t="s">
        <v>196</v>
      </c>
      <c r="H164" s="65">
        <v>0.00376</v>
      </c>
      <c r="K164" s="69">
        <f>N168/1000*H164</f>
        <v>0</v>
      </c>
    </row>
    <row r="165" spans="4:11" s="65" customFormat="1" ht="12.75">
      <c r="D165" s="65" t="s">
        <v>198</v>
      </c>
      <c r="H165" s="65">
        <v>0.00414</v>
      </c>
      <c r="K165" s="69">
        <f>N169/1000*H165</f>
        <v>0.023916365999999994</v>
      </c>
    </row>
    <row r="166" s="65" customFormat="1" ht="12.75">
      <c r="M166" s="65" t="s">
        <v>206</v>
      </c>
    </row>
    <row r="167" spans="1:13" s="65" customFormat="1" ht="12.75">
      <c r="A167" s="65" t="s">
        <v>207</v>
      </c>
      <c r="B167" s="65" t="s">
        <v>208</v>
      </c>
      <c r="D167" s="65" t="s">
        <v>203</v>
      </c>
      <c r="M167" s="65" t="s">
        <v>158</v>
      </c>
    </row>
    <row r="168" spans="4:13" s="65" customFormat="1" ht="12.75">
      <c r="D168" s="65" t="s">
        <v>209</v>
      </c>
      <c r="M168" s="73" t="s">
        <v>166</v>
      </c>
    </row>
    <row r="169" spans="4:14" s="65" customFormat="1" ht="12.75">
      <c r="D169" s="65" t="s">
        <v>191</v>
      </c>
      <c r="M169" s="65" t="s">
        <v>174</v>
      </c>
      <c r="N169" s="65">
        <f>N141</f>
        <v>5776.9</v>
      </c>
    </row>
    <row r="170" spans="4:11" s="65" customFormat="1" ht="12.75">
      <c r="D170" s="65" t="s">
        <v>158</v>
      </c>
      <c r="H170" s="65">
        <v>0.02043</v>
      </c>
      <c r="I170" s="65">
        <v>0</v>
      </c>
      <c r="K170" s="65">
        <f>N154/1000*H170</f>
        <v>0</v>
      </c>
    </row>
    <row r="171" spans="4:13" s="65" customFormat="1" ht="12.75">
      <c r="D171" s="65" t="s">
        <v>196</v>
      </c>
      <c r="H171" s="65">
        <v>0.0227</v>
      </c>
      <c r="I171" s="65">
        <v>0</v>
      </c>
      <c r="K171" s="65">
        <f>N155/1000*H171</f>
        <v>0</v>
      </c>
      <c r="M171" s="65" t="s">
        <v>210</v>
      </c>
    </row>
    <row r="172" spans="4:13" s="65" customFormat="1" ht="12.75">
      <c r="D172" s="65" t="s">
        <v>198</v>
      </c>
      <c r="H172" s="65">
        <v>0.02497</v>
      </c>
      <c r="I172" s="65">
        <v>0</v>
      </c>
      <c r="K172" s="65">
        <f>N156/1000*H172</f>
        <v>0</v>
      </c>
      <c r="M172" s="65" t="s">
        <v>158</v>
      </c>
    </row>
    <row r="173" spans="4:13" s="65" customFormat="1" ht="12.75">
      <c r="D173" s="65" t="s">
        <v>211</v>
      </c>
      <c r="M173" s="73" t="s">
        <v>166</v>
      </c>
    </row>
    <row r="174" spans="4:14" s="65" customFormat="1" ht="12.75">
      <c r="D174" s="65" t="s">
        <v>191</v>
      </c>
      <c r="M174" s="65" t="s">
        <v>174</v>
      </c>
      <c r="N174" s="65">
        <v>137</v>
      </c>
    </row>
    <row r="175" spans="4:6" s="65" customFormat="1" ht="12.75">
      <c r="D175" s="65" t="s">
        <v>192</v>
      </c>
      <c r="F175" s="65" t="s">
        <v>193</v>
      </c>
    </row>
    <row r="176" spans="4:11" s="65" customFormat="1" ht="12.75">
      <c r="D176" s="65" t="s">
        <v>158</v>
      </c>
      <c r="H176" s="65">
        <v>0.00999</v>
      </c>
      <c r="K176" s="69">
        <f>N139/1000*H176</f>
        <v>0</v>
      </c>
    </row>
    <row r="177" spans="4:11" s="65" customFormat="1" ht="12.75">
      <c r="D177" s="65" t="s">
        <v>196</v>
      </c>
      <c r="H177" s="65">
        <v>0.0111</v>
      </c>
      <c r="K177" s="69">
        <f>N140/1000*H177</f>
        <v>0</v>
      </c>
    </row>
    <row r="178" spans="4:11" s="65" customFormat="1" ht="12.75">
      <c r="D178" s="65" t="s">
        <v>198</v>
      </c>
      <c r="H178" s="65">
        <v>0.01221</v>
      </c>
      <c r="I178" s="65">
        <v>0</v>
      </c>
      <c r="K178" s="69">
        <f>N141/1000*H178</f>
        <v>0.070535949</v>
      </c>
    </row>
    <row r="179" s="65" customFormat="1" ht="12.75">
      <c r="I179" s="65">
        <v>0</v>
      </c>
    </row>
    <row r="180" spans="5:9" s="65" customFormat="1" ht="12.75">
      <c r="E180" s="65" t="s">
        <v>201</v>
      </c>
      <c r="G180" s="65">
        <v>0</v>
      </c>
      <c r="I180" s="65">
        <v>0</v>
      </c>
    </row>
    <row r="181" spans="1:6" s="65" customFormat="1" ht="12.75">
      <c r="A181" s="65" t="s">
        <v>212</v>
      </c>
      <c r="B181" s="65" t="s">
        <v>213</v>
      </c>
      <c r="D181" s="65" t="s">
        <v>203</v>
      </c>
      <c r="F181" s="65" t="s">
        <v>193</v>
      </c>
    </row>
    <row r="182" spans="2:6" s="65" customFormat="1" ht="12.75">
      <c r="B182" s="65" t="s">
        <v>214</v>
      </c>
      <c r="D182" s="65" t="s">
        <v>209</v>
      </c>
      <c r="F182" s="65" t="s">
        <v>215</v>
      </c>
    </row>
    <row r="183" spans="4:6" s="65" customFormat="1" ht="12.75">
      <c r="D183" s="65" t="s">
        <v>191</v>
      </c>
      <c r="F183" s="65" t="s">
        <v>216</v>
      </c>
    </row>
    <row r="184" spans="4:11" s="65" customFormat="1" ht="12.75">
      <c r="D184" s="65" t="s">
        <v>158</v>
      </c>
      <c r="H184" s="65">
        <v>0.018432</v>
      </c>
      <c r="I184" s="65">
        <v>0</v>
      </c>
      <c r="K184" s="65">
        <f>N154/1000*H184</f>
        <v>0</v>
      </c>
    </row>
    <row r="185" spans="4:11" s="65" customFormat="1" ht="12.75">
      <c r="D185" s="65" t="s">
        <v>196</v>
      </c>
      <c r="H185" s="65">
        <v>0.02048</v>
      </c>
      <c r="I185" s="65">
        <v>0</v>
      </c>
      <c r="K185" s="65">
        <f>N155/1000*H185</f>
        <v>0</v>
      </c>
    </row>
    <row r="186" spans="4:11" s="65" customFormat="1" ht="12.75">
      <c r="D186" s="65" t="s">
        <v>198</v>
      </c>
      <c r="K186" s="65">
        <f>N156/1000*H186</f>
        <v>0</v>
      </c>
    </row>
    <row r="187" s="65" customFormat="1" ht="12.75">
      <c r="D187" s="65" t="s">
        <v>211</v>
      </c>
    </row>
    <row r="188" s="65" customFormat="1" ht="12.75">
      <c r="D188" s="65" t="s">
        <v>191</v>
      </c>
    </row>
    <row r="189" s="65" customFormat="1" ht="12.75">
      <c r="D189" s="65" t="s">
        <v>192</v>
      </c>
    </row>
    <row r="190" spans="4:11" s="65" customFormat="1" ht="12.75">
      <c r="D190" s="65" t="s">
        <v>158</v>
      </c>
      <c r="K190" s="69">
        <f>N139/1000*H190</f>
        <v>0</v>
      </c>
    </row>
    <row r="191" spans="4:11" s="65" customFormat="1" ht="12.75">
      <c r="D191" s="65" t="s">
        <v>196</v>
      </c>
      <c r="H191" s="65">
        <v>0.02295</v>
      </c>
      <c r="I191" s="65">
        <v>0</v>
      </c>
      <c r="K191" s="69">
        <f>N140/1000*H191</f>
        <v>0</v>
      </c>
    </row>
    <row r="192" spans="4:11" s="65" customFormat="1" ht="12.75">
      <c r="D192" s="65" t="s">
        <v>198</v>
      </c>
      <c r="H192" s="65">
        <v>0.025245</v>
      </c>
      <c r="I192" s="65">
        <v>0</v>
      </c>
      <c r="K192" s="69">
        <f>N141/1000*H192</f>
        <v>0.14583784049999998</v>
      </c>
    </row>
    <row r="193" spans="5:11" s="65" customFormat="1" ht="12.75">
      <c r="E193" s="65" t="s">
        <v>201</v>
      </c>
      <c r="G193" s="65">
        <v>0</v>
      </c>
      <c r="I193" s="65">
        <v>0</v>
      </c>
      <c r="K193" s="69"/>
    </row>
    <row r="194" s="65" customFormat="1" ht="12.75">
      <c r="K194" s="69"/>
    </row>
    <row r="195" spans="1:11" s="65" customFormat="1" ht="12.75">
      <c r="A195" s="65" t="s">
        <v>217</v>
      </c>
      <c r="B195" s="65" t="s">
        <v>218</v>
      </c>
      <c r="D195" s="65" t="s">
        <v>203</v>
      </c>
      <c r="K195" s="69"/>
    </row>
    <row r="196" spans="4:11" s="65" customFormat="1" ht="12.75">
      <c r="D196" s="65" t="s">
        <v>209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158</v>
      </c>
      <c r="H198" s="65">
        <v>0.027585</v>
      </c>
      <c r="I198" s="65">
        <v>0</v>
      </c>
      <c r="K198" s="69">
        <f>N154/1000*H198</f>
        <v>0</v>
      </c>
    </row>
    <row r="199" spans="4:11" s="65" customFormat="1" ht="12.75">
      <c r="D199" s="65" t="s">
        <v>196</v>
      </c>
      <c r="H199" s="65">
        <v>0.3065</v>
      </c>
      <c r="I199" s="65">
        <v>0</v>
      </c>
      <c r="K199" s="69">
        <f>N155/1000*H199</f>
        <v>0</v>
      </c>
    </row>
    <row r="200" spans="4:11" s="65" customFormat="1" ht="12.75">
      <c r="D200" s="65" t="s">
        <v>198</v>
      </c>
      <c r="K200" s="69">
        <f>N156/1000*H200</f>
        <v>0</v>
      </c>
    </row>
    <row r="201" spans="4:11" s="65" customFormat="1" ht="12.75">
      <c r="D201" s="65" t="s">
        <v>211</v>
      </c>
      <c r="K201" s="69"/>
    </row>
    <row r="202" spans="4:11" s="65" customFormat="1" ht="12.75">
      <c r="D202" s="65" t="s">
        <v>191</v>
      </c>
      <c r="K202" s="69"/>
    </row>
    <row r="203" spans="4:11" s="65" customFormat="1" ht="12.75">
      <c r="D203" s="65" t="s">
        <v>192</v>
      </c>
      <c r="K203" s="69"/>
    </row>
    <row r="204" spans="4:11" s="65" customFormat="1" ht="12.75">
      <c r="D204" s="65" t="s">
        <v>158</v>
      </c>
      <c r="K204" s="69">
        <f>N139/1000*H204</f>
        <v>0</v>
      </c>
    </row>
    <row r="205" spans="4:11" s="65" customFormat="1" ht="12.75">
      <c r="D205" s="65" t="s">
        <v>196</v>
      </c>
      <c r="H205" s="65">
        <v>0.00539</v>
      </c>
      <c r="I205" s="65">
        <v>0</v>
      </c>
      <c r="K205" s="69">
        <f>N140/1000*H205</f>
        <v>0</v>
      </c>
    </row>
    <row r="206" spans="4:11" s="65" customFormat="1" ht="12.75">
      <c r="D206" s="65" t="s">
        <v>198</v>
      </c>
      <c r="H206" s="65">
        <v>0.005929</v>
      </c>
      <c r="I206" s="65">
        <v>0</v>
      </c>
      <c r="K206" s="69">
        <f>N141/1000*H206</f>
        <v>0.0342512401</v>
      </c>
    </row>
    <row r="207" spans="5:11" s="65" customFormat="1" ht="12.75">
      <c r="E207" s="65" t="s">
        <v>201</v>
      </c>
      <c r="G207" s="65">
        <v>0</v>
      </c>
      <c r="I207" s="65">
        <v>0</v>
      </c>
      <c r="K207" s="69"/>
    </row>
    <row r="208" s="65" customFormat="1" ht="12.75">
      <c r="K208" s="69"/>
    </row>
    <row r="209" spans="1:11" s="65" customFormat="1" ht="12.75">
      <c r="A209" s="65" t="s">
        <v>219</v>
      </c>
      <c r="B209" s="65" t="s">
        <v>220</v>
      </c>
      <c r="D209" s="65" t="s">
        <v>203</v>
      </c>
      <c r="K209" s="69"/>
    </row>
    <row r="210" spans="2:11" s="65" customFormat="1" ht="12.75">
      <c r="B210" s="65" t="s">
        <v>214</v>
      </c>
      <c r="D210" s="65" t="s">
        <v>209</v>
      </c>
      <c r="K210" s="69"/>
    </row>
    <row r="211" spans="4:11" s="65" customFormat="1" ht="12.75">
      <c r="D211" s="65" t="s">
        <v>191</v>
      </c>
      <c r="K211" s="69"/>
    </row>
    <row r="212" spans="4:11" s="65" customFormat="1" ht="12.75">
      <c r="D212" s="65" t="s">
        <v>158</v>
      </c>
      <c r="H212" s="65">
        <v>0.022437</v>
      </c>
      <c r="I212" s="65">
        <v>0</v>
      </c>
      <c r="K212" s="69">
        <f>N154/1000*H212</f>
        <v>0</v>
      </c>
    </row>
    <row r="213" spans="4:11" s="65" customFormat="1" ht="12.75">
      <c r="D213" s="65" t="s">
        <v>196</v>
      </c>
      <c r="H213" s="65">
        <v>0.02493</v>
      </c>
      <c r="I213" s="65">
        <v>0</v>
      </c>
      <c r="K213" s="69">
        <f>N155/1000*H213</f>
        <v>0</v>
      </c>
    </row>
    <row r="214" spans="4:11" s="65" customFormat="1" ht="12.75">
      <c r="D214" s="65" t="s">
        <v>198</v>
      </c>
      <c r="K214" s="65">
        <f>N156/1000*H214</f>
        <v>0</v>
      </c>
    </row>
    <row r="215" s="65" customFormat="1" ht="12.75">
      <c r="D215" s="65" t="s">
        <v>211</v>
      </c>
    </row>
    <row r="216" s="65" customFormat="1" ht="12.75">
      <c r="D216" s="65" t="s">
        <v>191</v>
      </c>
    </row>
    <row r="217" s="65" customFormat="1" ht="12.75">
      <c r="D217" s="65" t="s">
        <v>192</v>
      </c>
    </row>
    <row r="218" spans="4:11" s="65" customFormat="1" ht="12.75">
      <c r="D218" s="65" t="s">
        <v>158</v>
      </c>
      <c r="K218" s="69">
        <f>N139/1000*H218</f>
        <v>0</v>
      </c>
    </row>
    <row r="219" spans="4:11" s="65" customFormat="1" ht="12.75">
      <c r="D219" s="65" t="s">
        <v>196</v>
      </c>
      <c r="H219" s="65">
        <v>0.00888</v>
      </c>
      <c r="I219" s="65">
        <v>0</v>
      </c>
      <c r="K219" s="69">
        <f>N140/1000*H219</f>
        <v>0</v>
      </c>
    </row>
    <row r="220" spans="4:11" s="65" customFormat="1" ht="12.75">
      <c r="D220" s="65" t="s">
        <v>198</v>
      </c>
      <c r="H220" s="65">
        <v>0.009768</v>
      </c>
      <c r="I220" s="65">
        <v>0</v>
      </c>
      <c r="K220" s="69">
        <f>N141/1000*H220</f>
        <v>0.0564287592</v>
      </c>
    </row>
    <row r="221" spans="5:11" s="65" customFormat="1" ht="12.75">
      <c r="E221" s="65" t="s">
        <v>201</v>
      </c>
      <c r="G221" s="65">
        <v>0</v>
      </c>
      <c r="I221" s="65">
        <v>0</v>
      </c>
      <c r="K221" s="69"/>
    </row>
    <row r="222" s="65" customFormat="1" ht="12.75">
      <c r="K222" s="69"/>
    </row>
    <row r="223" spans="2:4" s="65" customFormat="1" ht="12.75">
      <c r="B223" s="65" t="s">
        <v>221</v>
      </c>
      <c r="D223" s="65" t="s">
        <v>203</v>
      </c>
    </row>
    <row r="224" s="65" customFormat="1" ht="12.75">
      <c r="D224" s="65" t="s">
        <v>204</v>
      </c>
    </row>
    <row r="225" s="65" customFormat="1" ht="12.75">
      <c r="D225" s="65" t="s">
        <v>205</v>
      </c>
    </row>
    <row r="226" s="65" customFormat="1" ht="12.75">
      <c r="D226" s="65" t="s">
        <v>191</v>
      </c>
    </row>
    <row r="227" spans="4:11" s="65" customFormat="1" ht="12.75">
      <c r="D227" s="65" t="s">
        <v>158</v>
      </c>
      <c r="H227" s="65">
        <v>0.0243</v>
      </c>
      <c r="K227" s="69">
        <f>N167/1000*H227</f>
        <v>0</v>
      </c>
    </row>
    <row r="228" spans="4:11" s="65" customFormat="1" ht="12.75">
      <c r="D228" s="65" t="s">
        <v>196</v>
      </c>
      <c r="H228" s="65">
        <v>0.027</v>
      </c>
      <c r="K228" s="69">
        <f>N168/1000*H228</f>
        <v>0</v>
      </c>
    </row>
    <row r="229" spans="4:11" s="65" customFormat="1" ht="12.75">
      <c r="D229" s="65" t="s">
        <v>198</v>
      </c>
      <c r="H229" s="65">
        <v>0.0297</v>
      </c>
      <c r="K229" s="69">
        <f>N169/1000*H229</f>
        <v>0.17157392999999999</v>
      </c>
    </row>
    <row r="230" spans="1:11" s="65" customFormat="1" ht="12.75">
      <c r="A230" s="65" t="s">
        <v>222</v>
      </c>
      <c r="B230" s="65" t="s">
        <v>223</v>
      </c>
      <c r="D230" s="65" t="s">
        <v>203</v>
      </c>
      <c r="K230" s="69"/>
    </row>
    <row r="231" spans="4:11" s="65" customFormat="1" ht="12.75">
      <c r="D231" s="65" t="s">
        <v>209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158</v>
      </c>
      <c r="H233" s="65">
        <v>0.01773</v>
      </c>
      <c r="I233" s="65">
        <v>0</v>
      </c>
      <c r="K233" s="69">
        <f>N154/1000*H233</f>
        <v>0</v>
      </c>
    </row>
    <row r="234" spans="4:11" s="65" customFormat="1" ht="12.75">
      <c r="D234" s="65" t="s">
        <v>196</v>
      </c>
      <c r="H234" s="65">
        <v>0.0197</v>
      </c>
      <c r="I234" s="65">
        <v>0</v>
      </c>
      <c r="K234" s="69">
        <f>N155/1000*H234</f>
        <v>0</v>
      </c>
    </row>
    <row r="235" spans="4:11" s="65" customFormat="1" ht="12.75">
      <c r="D235" s="65" t="s">
        <v>198</v>
      </c>
      <c r="K235" s="69">
        <f>N156/1000*H235</f>
        <v>0</v>
      </c>
    </row>
    <row r="236" spans="4:11" s="65" customFormat="1" ht="12.75">
      <c r="D236" s="65" t="s">
        <v>211</v>
      </c>
      <c r="K236" s="69"/>
    </row>
    <row r="237" spans="4:11" s="65" customFormat="1" ht="12.75">
      <c r="D237" s="65" t="s">
        <v>191</v>
      </c>
      <c r="K237" s="69"/>
    </row>
    <row r="238" spans="4:11" s="65" customFormat="1" ht="12.75">
      <c r="D238" s="65" t="s">
        <v>192</v>
      </c>
      <c r="K238" s="69"/>
    </row>
    <row r="239" spans="4:11" s="65" customFormat="1" ht="12.75">
      <c r="D239" s="65" t="s">
        <v>158</v>
      </c>
      <c r="K239" s="69">
        <f>N139/1000*H239</f>
        <v>0</v>
      </c>
    </row>
    <row r="240" spans="4:11" s="65" customFormat="1" ht="12.75">
      <c r="D240" s="65" t="s">
        <v>196</v>
      </c>
      <c r="H240" s="65">
        <v>0.0018</v>
      </c>
      <c r="I240" s="65">
        <v>0</v>
      </c>
      <c r="K240" s="69">
        <f>N140/1000*H240</f>
        <v>0</v>
      </c>
    </row>
    <row r="241" spans="4:11" s="65" customFormat="1" ht="12.75">
      <c r="D241" s="65" t="s">
        <v>198</v>
      </c>
      <c r="H241" s="65">
        <v>0.00198</v>
      </c>
      <c r="I241" s="65">
        <v>0</v>
      </c>
      <c r="K241" s="69">
        <f>N141/1000*H241</f>
        <v>0.011438262</v>
      </c>
    </row>
    <row r="242" spans="5:11" s="65" customFormat="1" ht="12.75">
      <c r="E242" s="65" t="s">
        <v>201</v>
      </c>
      <c r="G242" s="65">
        <v>0</v>
      </c>
      <c r="I242" s="65">
        <v>0</v>
      </c>
      <c r="K242" s="69"/>
    </row>
    <row r="243" s="65" customFormat="1" ht="12.75">
      <c r="K243" s="69"/>
    </row>
    <row r="244" spans="2:7" s="65" customFormat="1" ht="12.75">
      <c r="B244" s="65" t="s">
        <v>224</v>
      </c>
      <c r="D244" s="65" t="s">
        <v>203</v>
      </c>
      <c r="G244" s="65" t="s">
        <v>225</v>
      </c>
    </row>
    <row r="245" spans="4:7" s="65" customFormat="1" ht="12.75">
      <c r="D245" s="65" t="s">
        <v>204</v>
      </c>
      <c r="G245" s="65" t="s">
        <v>226</v>
      </c>
    </row>
    <row r="246" spans="4:7" s="65" customFormat="1" ht="12.75">
      <c r="D246" s="65" t="s">
        <v>205</v>
      </c>
      <c r="G246" s="65" t="s">
        <v>227</v>
      </c>
    </row>
    <row r="247" s="65" customFormat="1" ht="12.75">
      <c r="D247" s="65" t="s">
        <v>191</v>
      </c>
    </row>
    <row r="248" spans="4:11" s="65" customFormat="1" ht="12.75">
      <c r="D248" s="65" t="s">
        <v>158</v>
      </c>
      <c r="H248" s="65">
        <v>0.02367</v>
      </c>
      <c r="K248" s="69">
        <f>N149/1000*H248</f>
        <v>0</v>
      </c>
    </row>
    <row r="249" spans="4:11" s="65" customFormat="1" ht="12.75">
      <c r="D249" s="65" t="s">
        <v>196</v>
      </c>
      <c r="H249" s="65">
        <v>0.0263</v>
      </c>
      <c r="K249" s="69">
        <f>N150/1000*H249</f>
        <v>0</v>
      </c>
    </row>
    <row r="250" spans="4:11" s="65" customFormat="1" ht="12.75">
      <c r="D250" s="65" t="s">
        <v>198</v>
      </c>
      <c r="H250" s="65">
        <v>0.02893</v>
      </c>
      <c r="K250" s="69">
        <f>N151/1000*H250</f>
        <v>0.026077502</v>
      </c>
    </row>
    <row r="251" s="65" customFormat="1" ht="12.75">
      <c r="K251" s="69"/>
    </row>
    <row r="252" spans="1:11" s="65" customFormat="1" ht="12.75">
      <c r="A252" s="65" t="s">
        <v>228</v>
      </c>
      <c r="B252" s="65" t="s">
        <v>229</v>
      </c>
      <c r="D252" s="65" t="s">
        <v>203</v>
      </c>
      <c r="K252" s="69"/>
    </row>
    <row r="253" spans="2:11" s="65" customFormat="1" ht="12.75">
      <c r="B253" s="65" t="s">
        <v>230</v>
      </c>
      <c r="D253" s="65" t="s">
        <v>209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158</v>
      </c>
      <c r="H255" s="65">
        <v>0.014679</v>
      </c>
      <c r="I255" s="65">
        <v>0</v>
      </c>
      <c r="K255" s="69">
        <f>N154/1000*H255</f>
        <v>0</v>
      </c>
    </row>
    <row r="256" spans="4:11" s="65" customFormat="1" ht="12.75">
      <c r="D256" s="65" t="s">
        <v>196</v>
      </c>
      <c r="H256" s="65">
        <v>0.01631</v>
      </c>
      <c r="I256" s="65">
        <v>0</v>
      </c>
      <c r="K256" s="69">
        <f>N155/1000*H256</f>
        <v>0</v>
      </c>
    </row>
    <row r="257" spans="4:11" s="65" customFormat="1" ht="12.75">
      <c r="D257" s="65" t="s">
        <v>198</v>
      </c>
      <c r="K257" s="69">
        <f>N156/1000*H257</f>
        <v>0</v>
      </c>
    </row>
    <row r="258" spans="4:11" s="65" customFormat="1" ht="12.75">
      <c r="D258" s="65" t="s">
        <v>211</v>
      </c>
      <c r="K258" s="69"/>
    </row>
    <row r="259" spans="4:11" s="65" customFormat="1" ht="12.75">
      <c r="D259" s="65" t="s">
        <v>191</v>
      </c>
      <c r="K259" s="69"/>
    </row>
    <row r="260" spans="4:11" s="65" customFormat="1" ht="12.75">
      <c r="D260" s="65" t="s">
        <v>192</v>
      </c>
      <c r="K260" s="69"/>
    </row>
    <row r="261" spans="4:11" s="65" customFormat="1" ht="12.75">
      <c r="D261" s="65" t="s">
        <v>158</v>
      </c>
      <c r="K261" s="69">
        <f>N139/1000*H261</f>
        <v>0</v>
      </c>
    </row>
    <row r="262" spans="4:11" s="65" customFormat="1" ht="12.75">
      <c r="D262" s="65" t="s">
        <v>196</v>
      </c>
      <c r="H262" s="65">
        <v>0.01631</v>
      </c>
      <c r="I262" s="65">
        <v>0</v>
      </c>
      <c r="K262" s="69">
        <f>N140/1000*H262</f>
        <v>0</v>
      </c>
    </row>
    <row r="263" spans="4:11" s="65" customFormat="1" ht="12.75">
      <c r="D263" s="65" t="s">
        <v>198</v>
      </c>
      <c r="H263" s="65">
        <v>0.017941</v>
      </c>
      <c r="I263" s="65">
        <v>0</v>
      </c>
      <c r="K263" s="69">
        <f>N141/1000*H263</f>
        <v>0.10364336289999998</v>
      </c>
    </row>
    <row r="264" spans="5:11" s="65" customFormat="1" ht="12.75">
      <c r="E264" s="65" t="s">
        <v>201</v>
      </c>
      <c r="G264" s="65">
        <v>0</v>
      </c>
      <c r="I264" s="65">
        <v>0</v>
      </c>
      <c r="K264" s="69"/>
    </row>
    <row r="265" s="65" customFormat="1" ht="12.75">
      <c r="K265" s="69"/>
    </row>
    <row r="266" spans="1:11" s="65" customFormat="1" ht="12.75">
      <c r="A266" s="65" t="s">
        <v>231</v>
      </c>
      <c r="B266" s="65" t="s">
        <v>232</v>
      </c>
      <c r="D266" s="65" t="s">
        <v>203</v>
      </c>
      <c r="K266" s="69"/>
    </row>
    <row r="267" spans="2:11" s="65" customFormat="1" ht="12.75">
      <c r="B267" s="65" t="s">
        <v>233</v>
      </c>
      <c r="D267" s="65" t="s">
        <v>211</v>
      </c>
      <c r="K267" s="69"/>
    </row>
    <row r="268" spans="4:11" s="65" customFormat="1" ht="12.75">
      <c r="D268" s="65" t="s">
        <v>209</v>
      </c>
      <c r="K268" s="69"/>
    </row>
    <row r="269" spans="4:11" s="65" customFormat="1" ht="12.75">
      <c r="D269" s="65" t="s">
        <v>234</v>
      </c>
      <c r="K269" s="69"/>
    </row>
    <row r="270" spans="4:11" s="65" customFormat="1" ht="12.75">
      <c r="D270" s="65" t="s">
        <v>235</v>
      </c>
      <c r="F270" s="65" t="s">
        <v>236</v>
      </c>
      <c r="K270" s="69"/>
    </row>
    <row r="271" spans="4:11" s="65" customFormat="1" ht="12.75">
      <c r="D271" s="65" t="s">
        <v>191</v>
      </c>
      <c r="F271" s="65" t="s">
        <v>237</v>
      </c>
      <c r="K271" s="69"/>
    </row>
    <row r="272" spans="4:11" s="65" customFormat="1" ht="12.75">
      <c r="D272" s="65" t="s">
        <v>158</v>
      </c>
      <c r="H272" s="65">
        <v>41000</v>
      </c>
      <c r="I272" s="65">
        <v>0</v>
      </c>
      <c r="K272" s="69">
        <f>N167/H272</f>
        <v>0</v>
      </c>
    </row>
    <row r="273" spans="4:11" s="65" customFormat="1" ht="12.75">
      <c r="D273" s="65" t="s">
        <v>196</v>
      </c>
      <c r="H273" s="65">
        <v>39000</v>
      </c>
      <c r="I273" s="65">
        <v>0</v>
      </c>
      <c r="K273" s="69">
        <f>N168/H273</f>
        <v>0</v>
      </c>
    </row>
    <row r="274" spans="4:11" s="65" customFormat="1" ht="12.75">
      <c r="D274" s="65" t="s">
        <v>198</v>
      </c>
      <c r="H274" s="65">
        <v>37000</v>
      </c>
      <c r="I274" s="65">
        <v>0</v>
      </c>
      <c r="K274" s="69">
        <f>N169/H274</f>
        <v>0.1561324324324324</v>
      </c>
    </row>
    <row r="275" s="65" customFormat="1" ht="12.75">
      <c r="K275" s="69"/>
    </row>
    <row r="276" spans="4:11" s="65" customFormat="1" ht="12.75">
      <c r="D276" s="65" t="s">
        <v>238</v>
      </c>
      <c r="K276" s="69"/>
    </row>
    <row r="277" spans="4:11" s="65" customFormat="1" ht="12.75">
      <c r="D277" s="65" t="s">
        <v>239</v>
      </c>
      <c r="F277" s="65" t="s">
        <v>240</v>
      </c>
      <c r="K277" s="69"/>
    </row>
    <row r="278" spans="4:11" s="65" customFormat="1" ht="12.75">
      <c r="D278" s="65" t="s">
        <v>191</v>
      </c>
      <c r="K278" s="69"/>
    </row>
    <row r="279" spans="4:11" s="65" customFormat="1" ht="12.75">
      <c r="D279" s="65" t="s">
        <v>158</v>
      </c>
      <c r="H279" s="65">
        <v>450</v>
      </c>
      <c r="I279" s="65">
        <v>0</v>
      </c>
      <c r="K279" s="69">
        <f>N172/H279</f>
        <v>0</v>
      </c>
    </row>
    <row r="280" spans="4:11" s="65" customFormat="1" ht="12.75">
      <c r="D280" s="65" t="s">
        <v>196</v>
      </c>
      <c r="H280" s="65">
        <v>375</v>
      </c>
      <c r="I280" s="65">
        <v>0</v>
      </c>
      <c r="K280" s="69">
        <f>N173/H280</f>
        <v>0</v>
      </c>
    </row>
    <row r="281" spans="4:11" s="65" customFormat="1" ht="12.75">
      <c r="D281" s="65" t="s">
        <v>198</v>
      </c>
      <c r="H281" s="65">
        <v>310</v>
      </c>
      <c r="I281" s="65">
        <v>0</v>
      </c>
      <c r="K281" s="69">
        <f>N174/H281</f>
        <v>0.44193548387096776</v>
      </c>
    </row>
    <row r="282" spans="5:11" s="65" customFormat="1" ht="12.75">
      <c r="E282" s="65" t="s">
        <v>201</v>
      </c>
      <c r="G282" s="65">
        <v>0</v>
      </c>
      <c r="I282" s="65">
        <v>0</v>
      </c>
      <c r="K282" s="69"/>
    </row>
    <row r="283" s="65" customFormat="1" ht="12.75">
      <c r="K283" s="69"/>
    </row>
    <row r="284" spans="1:11" s="65" customFormat="1" ht="12.75">
      <c r="A284" s="65" t="s">
        <v>241</v>
      </c>
      <c r="B284" s="65" t="s">
        <v>242</v>
      </c>
      <c r="D284" s="65" t="s">
        <v>243</v>
      </c>
      <c r="K284" s="69"/>
    </row>
    <row r="285" spans="4:11" s="65" customFormat="1" ht="12.75">
      <c r="D285" s="65" t="s">
        <v>244</v>
      </c>
      <c r="F285" s="65" t="s">
        <v>240</v>
      </c>
      <c r="K285" s="69"/>
    </row>
    <row r="286" spans="4:11" s="65" customFormat="1" ht="12.75">
      <c r="D286" s="65" t="s">
        <v>245</v>
      </c>
      <c r="K286" s="69"/>
    </row>
    <row r="287" spans="4:11" s="65" customFormat="1" ht="12.75">
      <c r="D287" s="65" t="s">
        <v>158</v>
      </c>
      <c r="H287" s="65">
        <v>2350</v>
      </c>
      <c r="I287" s="65">
        <v>0</v>
      </c>
      <c r="K287" s="69">
        <f>N172/H287</f>
        <v>0</v>
      </c>
    </row>
    <row r="288" spans="4:11" s="65" customFormat="1" ht="12.75">
      <c r="D288" s="65" t="s">
        <v>196</v>
      </c>
      <c r="H288" s="65">
        <v>2250</v>
      </c>
      <c r="I288" s="65">
        <v>0</v>
      </c>
      <c r="K288" s="69">
        <f>N173/H288</f>
        <v>0</v>
      </c>
    </row>
    <row r="289" spans="4:11" s="65" customFormat="1" ht="12.75">
      <c r="D289" s="65" t="s">
        <v>198</v>
      </c>
      <c r="H289" s="65">
        <v>2200</v>
      </c>
      <c r="I289" s="65">
        <v>0</v>
      </c>
      <c r="K289" s="69">
        <f>N174/H289</f>
        <v>0.06227272727272727</v>
      </c>
    </row>
    <row r="290" spans="5:11" s="65" customFormat="1" ht="12.75">
      <c r="E290" s="65" t="s">
        <v>201</v>
      </c>
      <c r="G290" s="65">
        <v>0</v>
      </c>
      <c r="I290" s="65">
        <v>0</v>
      </c>
      <c r="K290" s="69"/>
    </row>
    <row r="291" s="65" customFormat="1" ht="12.75">
      <c r="K291" s="69">
        <f>K153+K154+K155+K163+K164+K165+K170+K171+K172+K176+K177+K178+K184+K185+K186+K190+K191+K192+K198+K199+K200+K204+K205+K206+K212+K213+K214+K218+K219+K220+K227+K228+K229+K233+K234+K235+K239+K240+K241+K248+K249+K250+K255+K256+K257+K261+K262+K263+K272+K273+K274+K279+K280+K281+K287+K288+K289</f>
        <v>1.3496183352761273</v>
      </c>
    </row>
    <row r="292" spans="1:11" s="65" customFormat="1" ht="12.75">
      <c r="A292" s="65" t="s">
        <v>246</v>
      </c>
      <c r="B292" s="65" t="s">
        <v>247</v>
      </c>
      <c r="F292" s="65" t="s">
        <v>248</v>
      </c>
      <c r="I292" s="65">
        <v>1</v>
      </c>
      <c r="K292" s="69">
        <f>K291*1.12</f>
        <v>1.5115725355092626</v>
      </c>
    </row>
    <row r="293" s="65" customFormat="1" ht="12.75">
      <c r="B293" s="65" t="s">
        <v>249</v>
      </c>
    </row>
    <row r="294" s="65" customFormat="1" ht="12.75">
      <c r="B294" s="65" t="s">
        <v>250</v>
      </c>
    </row>
    <row r="295" s="65" customFormat="1" ht="12.75"/>
    <row r="296" spans="1:9" s="65" customFormat="1" ht="12.75">
      <c r="A296" s="65" t="s">
        <v>251</v>
      </c>
      <c r="B296" s="65" t="s">
        <v>252</v>
      </c>
      <c r="I296" s="65">
        <v>2</v>
      </c>
    </row>
    <row r="297" spans="1:9" s="65" customFormat="1" ht="12.75">
      <c r="A297" s="65" t="s">
        <v>253</v>
      </c>
      <c r="B297" s="65" t="s">
        <v>254</v>
      </c>
      <c r="I297" s="65">
        <v>1</v>
      </c>
    </row>
    <row r="298" spans="1:9" s="65" customFormat="1" ht="12.75">
      <c r="A298" s="65" t="s">
        <v>255</v>
      </c>
      <c r="B298" s="65" t="s">
        <v>256</v>
      </c>
      <c r="I298" s="65">
        <v>1</v>
      </c>
    </row>
    <row r="299" spans="2:9" s="65" customFormat="1" ht="12.75">
      <c r="B299" s="65" t="s">
        <v>257</v>
      </c>
      <c r="I299" s="65">
        <v>5</v>
      </c>
    </row>
    <row r="300" s="65" customFormat="1" ht="12.75">
      <c r="F300" s="65" t="s">
        <v>258</v>
      </c>
    </row>
    <row r="301" spans="1:9" s="65" customFormat="1" ht="12.75">
      <c r="A301" s="65" t="s">
        <v>259</v>
      </c>
      <c r="B301" s="65" t="s">
        <v>260</v>
      </c>
      <c r="E301" s="65" t="s">
        <v>261</v>
      </c>
      <c r="G301" s="65">
        <v>1200</v>
      </c>
      <c r="H301" s="65">
        <v>1200</v>
      </c>
      <c r="I301" s="78">
        <f>G301/H301</f>
        <v>1</v>
      </c>
    </row>
    <row r="302" spans="5:9" s="65" customFormat="1" ht="12.75">
      <c r="E302" s="65" t="s">
        <v>262</v>
      </c>
      <c r="H302" s="65">
        <v>1650</v>
      </c>
      <c r="I302" s="78">
        <f>G302/H302</f>
        <v>0</v>
      </c>
    </row>
    <row r="303" spans="5:9" s="65" customFormat="1" ht="12.75">
      <c r="E303" s="65" t="s">
        <v>263</v>
      </c>
      <c r="G303" s="65">
        <v>1324</v>
      </c>
      <c r="H303" s="65">
        <v>9000</v>
      </c>
      <c r="I303" s="78">
        <f>G303/H303</f>
        <v>0.1471111111111111</v>
      </c>
    </row>
    <row r="304" spans="3:9" s="65" customFormat="1" ht="12.75">
      <c r="C304" s="65" t="s">
        <v>201</v>
      </c>
      <c r="G304" s="65">
        <f>G301+G303</f>
        <v>2524</v>
      </c>
      <c r="I304" s="78">
        <f>I301+I302+I303</f>
        <v>1.1471111111111112</v>
      </c>
    </row>
    <row r="305" spans="6:9" s="65" customFormat="1" ht="12.75">
      <c r="F305" s="65" t="s">
        <v>258</v>
      </c>
      <c r="I305" s="78"/>
    </row>
    <row r="306" spans="1:9" s="65" customFormat="1" ht="12.75">
      <c r="A306" s="65" t="s">
        <v>264</v>
      </c>
      <c r="B306" s="65" t="s">
        <v>265</v>
      </c>
      <c r="E306" s="65" t="s">
        <v>266</v>
      </c>
      <c r="H306" s="65">
        <v>800</v>
      </c>
      <c r="I306" s="78">
        <f>G306/H306</f>
        <v>0</v>
      </c>
    </row>
    <row r="307" spans="2:9" s="65" customFormat="1" ht="12.75">
      <c r="B307" s="65" t="s">
        <v>267</v>
      </c>
      <c r="E307" s="65" t="s">
        <v>268</v>
      </c>
      <c r="G307" s="65">
        <v>524.5</v>
      </c>
      <c r="H307" s="65">
        <v>960</v>
      </c>
      <c r="I307" s="78">
        <f>G307/H307</f>
        <v>0.5463541666666667</v>
      </c>
    </row>
    <row r="308" spans="5:9" s="65" customFormat="1" ht="12.75">
      <c r="E308" s="65" t="s">
        <v>269</v>
      </c>
      <c r="I308" s="78"/>
    </row>
    <row r="309" spans="3:9" s="65" customFormat="1" ht="12.75">
      <c r="C309" s="65" t="s">
        <v>201</v>
      </c>
      <c r="G309" s="65">
        <f>G306+G307+G308</f>
        <v>524.5</v>
      </c>
      <c r="I309" s="78">
        <f>I306+I307</f>
        <v>0.5463541666666667</v>
      </c>
    </row>
    <row r="310" spans="6:9" s="65" customFormat="1" ht="12.75">
      <c r="F310" s="65" t="s">
        <v>270</v>
      </c>
      <c r="I310" s="78"/>
    </row>
    <row r="311" spans="1:9" s="65" customFormat="1" ht="12.75">
      <c r="A311" s="65" t="s">
        <v>271</v>
      </c>
      <c r="B311" s="65" t="s">
        <v>272</v>
      </c>
      <c r="E311" s="65" t="s">
        <v>273</v>
      </c>
      <c r="G311" s="65">
        <v>322</v>
      </c>
      <c r="H311" s="65">
        <v>500</v>
      </c>
      <c r="I311" s="78">
        <f>G311/H311</f>
        <v>0.644</v>
      </c>
    </row>
    <row r="312" spans="5:9" s="65" customFormat="1" ht="12.75">
      <c r="E312" s="65" t="s">
        <v>274</v>
      </c>
      <c r="H312" s="65">
        <v>700</v>
      </c>
      <c r="I312" s="78">
        <f>G312/H312</f>
        <v>0</v>
      </c>
    </row>
    <row r="313" spans="5:9" s="65" customFormat="1" ht="12.75">
      <c r="E313" s="65" t="s">
        <v>275</v>
      </c>
      <c r="I313" s="78"/>
    </row>
    <row r="314" spans="3:9" s="65" customFormat="1" ht="12.75">
      <c r="C314" s="65" t="s">
        <v>201</v>
      </c>
      <c r="G314" s="65">
        <v>0</v>
      </c>
      <c r="I314" s="78">
        <f>I311+I312</f>
        <v>0.644</v>
      </c>
    </row>
    <row r="315" spans="1:2" s="65" customFormat="1" ht="12.75">
      <c r="A315" s="65" t="s">
        <v>276</v>
      </c>
      <c r="B315" s="65" t="s">
        <v>277</v>
      </c>
    </row>
    <row r="316" spans="2:9" s="65" customFormat="1" ht="12.75">
      <c r="B316" s="65" t="s">
        <v>278</v>
      </c>
      <c r="I316" s="65">
        <v>2</v>
      </c>
    </row>
  </sheetData>
  <sheetProtection/>
  <mergeCells count="51">
    <mergeCell ref="A119:G119"/>
    <mergeCell ref="A123:D123"/>
    <mergeCell ref="A4:K5"/>
    <mergeCell ref="G98:K98"/>
    <mergeCell ref="C104:I104"/>
    <mergeCell ref="A113:G113"/>
    <mergeCell ref="A117:E117"/>
    <mergeCell ref="A78:F78"/>
    <mergeCell ref="A79:G79"/>
    <mergeCell ref="A80:D80"/>
    <mergeCell ref="E80:G80"/>
    <mergeCell ref="A81:E81"/>
    <mergeCell ref="A64:G64"/>
    <mergeCell ref="A65:G65"/>
    <mergeCell ref="A67:D67"/>
    <mergeCell ref="A68:F68"/>
    <mergeCell ref="A71:E71"/>
    <mergeCell ref="C75:D75"/>
    <mergeCell ref="A50:F50"/>
    <mergeCell ref="A51:F51"/>
    <mergeCell ref="A52:G52"/>
    <mergeCell ref="A53:G53"/>
    <mergeCell ref="A58:F58"/>
    <mergeCell ref="A62:G62"/>
    <mergeCell ref="A41:G41"/>
    <mergeCell ref="A42:G42"/>
    <mergeCell ref="A43:G43"/>
    <mergeCell ref="A44:G44"/>
    <mergeCell ref="A45:F45"/>
    <mergeCell ref="A46:F46"/>
    <mergeCell ref="A35:G35"/>
    <mergeCell ref="A36:G36"/>
    <mergeCell ref="A37:G37"/>
    <mergeCell ref="A38:G38"/>
    <mergeCell ref="A39:D39"/>
    <mergeCell ref="A40:G40"/>
    <mergeCell ref="A27:G27"/>
    <mergeCell ref="A28:G28"/>
    <mergeCell ref="A29:G29"/>
    <mergeCell ref="A30:G30"/>
    <mergeCell ref="A32:E32"/>
    <mergeCell ref="A34:G34"/>
    <mergeCell ref="A15:G15"/>
    <mergeCell ref="A19:F19"/>
    <mergeCell ref="A20:F20"/>
    <mergeCell ref="A21:F21"/>
    <mergeCell ref="A25:F25"/>
    <mergeCell ref="A26:G26"/>
    <mergeCell ref="A1:K1"/>
    <mergeCell ref="A2:K2"/>
    <mergeCell ref="A6:K6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H113 H119 K113" evalError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Q348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421875" style="6" customWidth="1"/>
    <col min="12" max="12" width="13.421875" style="65" customWidth="1"/>
    <col min="13" max="17" width="9.140625" style="65" customWidth="1"/>
    <col min="18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27" t="s">
        <v>447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 customHeight="1">
      <c r="A5" s="129" t="s">
        <v>418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" customHeight="1">
      <c r="A6" s="14" t="s">
        <v>419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7" s="9" customFormat="1" ht="15.75">
      <c r="A12" s="11" t="s">
        <v>69</v>
      </c>
      <c r="B12" s="11"/>
      <c r="C12" s="12"/>
      <c r="D12" s="11"/>
      <c r="E12" s="9">
        <f>44145.89*1.042</f>
        <v>46000.01738</v>
      </c>
      <c r="F12" s="9" t="s">
        <v>70</v>
      </c>
      <c r="H12" s="13"/>
      <c r="I12" s="13"/>
      <c r="K12" s="13"/>
      <c r="L12" s="67">
        <f>E14</f>
        <v>54970.512019999995</v>
      </c>
      <c r="M12" s="67"/>
      <c r="N12" s="67"/>
      <c r="O12" s="67"/>
      <c r="P12" s="67"/>
      <c r="Q12" s="67"/>
    </row>
    <row r="13" spans="1:17" s="9" customFormat="1" ht="15.75">
      <c r="A13" s="11" t="s">
        <v>420</v>
      </c>
      <c r="B13" s="11"/>
      <c r="C13" s="12"/>
      <c r="D13" s="11"/>
      <c r="E13" s="9">
        <f>8608.92*1.042</f>
        <v>8970.49464</v>
      </c>
      <c r="F13" s="9" t="s">
        <v>70</v>
      </c>
      <c r="H13" s="13"/>
      <c r="I13" s="13"/>
      <c r="K13" s="13"/>
      <c r="L13" s="92" t="e">
        <f>K20+K36+K64+K91+#REF!+K101</f>
        <v>#REF!</v>
      </c>
      <c r="M13" s="67"/>
      <c r="N13" s="67"/>
      <c r="O13" s="67"/>
      <c r="P13" s="67"/>
      <c r="Q13" s="67"/>
    </row>
    <row r="14" spans="1:17" s="9" customFormat="1" ht="15.75">
      <c r="A14" s="11" t="s">
        <v>421</v>
      </c>
      <c r="B14" s="11"/>
      <c r="C14" s="12"/>
      <c r="D14" s="11"/>
      <c r="E14" s="9">
        <f>E12+E13</f>
        <v>54970.512019999995</v>
      </c>
      <c r="F14" s="9" t="s">
        <v>70</v>
      </c>
      <c r="H14" s="13"/>
      <c r="I14" s="13"/>
      <c r="K14" s="13"/>
      <c r="L14" s="92" t="e">
        <f>L12-L13</f>
        <v>#REF!</v>
      </c>
      <c r="M14" s="67"/>
      <c r="N14" s="67">
        <f>E14*0.97</f>
        <v>53321.396659399994</v>
      </c>
      <c r="O14" s="67"/>
      <c r="P14" s="67"/>
      <c r="Q14" s="67"/>
    </row>
    <row r="15" spans="1:17" s="9" customFormat="1" ht="15.75" customHeight="1">
      <c r="A15" s="118"/>
      <c r="B15" s="118"/>
      <c r="C15" s="118"/>
      <c r="D15" s="118"/>
      <c r="E15" s="118"/>
      <c r="F15" s="118"/>
      <c r="G15" s="118"/>
      <c r="H15" s="118"/>
      <c r="K15" s="14"/>
      <c r="L15" s="67"/>
      <c r="M15" s="67"/>
      <c r="N15" s="67"/>
      <c r="O15" s="67"/>
      <c r="P15" s="67"/>
      <c r="Q15" s="67"/>
    </row>
    <row r="16" spans="3:17" s="9" customFormat="1" ht="15.75">
      <c r="C16" s="15" t="s">
        <v>71</v>
      </c>
      <c r="D16" s="15"/>
      <c r="K16" s="5"/>
      <c r="L16" s="67"/>
      <c r="M16" s="67"/>
      <c r="N16" s="67"/>
      <c r="O16" s="67"/>
      <c r="P16" s="67"/>
      <c r="Q16" s="67"/>
    </row>
    <row r="17" spans="1:13" ht="15.75">
      <c r="A17" s="114" t="s">
        <v>72</v>
      </c>
      <c r="B17" s="114"/>
      <c r="C17" s="114"/>
      <c r="D17" s="114"/>
      <c r="E17" s="114"/>
      <c r="F17" s="114"/>
      <c r="G17" s="114"/>
      <c r="H17" s="16"/>
      <c r="I17" s="16"/>
      <c r="J17" s="16"/>
      <c r="K17" s="17">
        <f>K20+K36+K64+K91+K101+K117</f>
        <v>51616.1913702167</v>
      </c>
      <c r="L17" s="68"/>
      <c r="M17" s="65" t="s">
        <v>309</v>
      </c>
    </row>
    <row r="18" spans="1:11" ht="15.75">
      <c r="A18" s="15"/>
      <c r="B18" s="15"/>
      <c r="C18" s="19"/>
      <c r="D18" s="15"/>
      <c r="E18" s="15"/>
      <c r="F18" s="15"/>
      <c r="G18" s="15"/>
      <c r="H18" s="15"/>
      <c r="I18" s="15"/>
      <c r="J18" s="15"/>
      <c r="K18" s="18"/>
    </row>
    <row r="19" spans="1:13" ht="15.75">
      <c r="A19" s="15"/>
      <c r="B19" s="15"/>
      <c r="C19" s="19"/>
      <c r="D19" s="15"/>
      <c r="E19" s="15"/>
      <c r="F19" s="15"/>
      <c r="G19" s="15"/>
      <c r="H19" s="15"/>
      <c r="I19" s="15"/>
      <c r="J19" s="15"/>
      <c r="K19" s="18"/>
      <c r="L19" s="69"/>
      <c r="M19" s="65" t="s">
        <v>310</v>
      </c>
    </row>
    <row r="20" spans="1:15" ht="15.75">
      <c r="A20" s="20" t="s">
        <v>147</v>
      </c>
      <c r="B20" s="20"/>
      <c r="C20" s="20"/>
      <c r="D20" s="20"/>
      <c r="E20" s="20"/>
      <c r="F20" s="20"/>
      <c r="G20" s="20"/>
      <c r="H20" s="20"/>
      <c r="I20" s="21"/>
      <c r="J20" s="20"/>
      <c r="K20" s="21">
        <f>H22+H24+H25+H28+H30+H32+H34+H23</f>
        <v>8256.144820144167</v>
      </c>
      <c r="M20" s="65" t="s">
        <v>76</v>
      </c>
      <c r="O20" s="69">
        <f>I336</f>
        <v>0.8898333333333333</v>
      </c>
    </row>
    <row r="21" spans="1:15" ht="12.75">
      <c r="A21" s="22" t="s">
        <v>77</v>
      </c>
      <c r="B21" s="22"/>
      <c r="C21" s="22"/>
      <c r="D21" s="22"/>
      <c r="E21" s="22"/>
      <c r="F21" s="22"/>
      <c r="G21" s="22"/>
      <c r="H21" s="22"/>
      <c r="I21" s="22"/>
      <c r="J21" s="22">
        <v>2972395.8</v>
      </c>
      <c r="K21" s="23"/>
      <c r="M21" s="65" t="s">
        <v>78</v>
      </c>
      <c r="O21" s="69">
        <f>I341</f>
        <v>0.72125</v>
      </c>
    </row>
    <row r="22" spans="1:15" ht="12.75">
      <c r="A22" s="113" t="s">
        <v>352</v>
      </c>
      <c r="B22" s="113"/>
      <c r="C22" s="113"/>
      <c r="D22" s="113"/>
      <c r="E22" s="113"/>
      <c r="F22" s="113"/>
      <c r="G22" s="22"/>
      <c r="H22" s="23">
        <f>O20*2600*1.75*1.07</f>
        <v>4332.153583333334</v>
      </c>
      <c r="I22" s="22"/>
      <c r="J22" s="22"/>
      <c r="K22" s="23"/>
      <c r="M22" s="65" t="s">
        <v>80</v>
      </c>
      <c r="O22" s="69"/>
    </row>
    <row r="23" spans="1:15" ht="12.75">
      <c r="A23" s="24" t="s">
        <v>353</v>
      </c>
      <c r="B23" s="24"/>
      <c r="C23" s="24"/>
      <c r="D23" s="24"/>
      <c r="E23" s="24"/>
      <c r="F23" s="24"/>
      <c r="G23" s="22"/>
      <c r="H23" s="23">
        <f>O21*2203*1.3*1.07</f>
        <v>2210.1790262500003</v>
      </c>
      <c r="I23" s="22"/>
      <c r="J23" s="22"/>
      <c r="K23" s="23"/>
      <c r="M23" s="65" t="s">
        <v>82</v>
      </c>
      <c r="O23" s="69">
        <v>5765</v>
      </c>
    </row>
    <row r="24" spans="1:15" ht="12.75">
      <c r="A24" s="113"/>
      <c r="B24" s="113"/>
      <c r="C24" s="113"/>
      <c r="D24" s="113"/>
      <c r="E24" s="113"/>
      <c r="F24" s="113"/>
      <c r="G24" s="22"/>
      <c r="H24" s="23"/>
      <c r="I24" s="22"/>
      <c r="J24" s="22"/>
      <c r="K24" s="23"/>
      <c r="M24" s="65" t="s">
        <v>83</v>
      </c>
      <c r="O24" s="65">
        <v>348</v>
      </c>
    </row>
    <row r="25" spans="1:16" ht="12.75">
      <c r="A25" s="23">
        <f>H22+H23</f>
        <v>6542.3326095833345</v>
      </c>
      <c r="B25" s="22" t="s">
        <v>84</v>
      </c>
      <c r="C25" s="22"/>
      <c r="D25" s="22"/>
      <c r="E25" s="22"/>
      <c r="F25" s="22"/>
      <c r="G25" s="22"/>
      <c r="H25" s="23">
        <f>A25*0.142</f>
        <v>929.0112305608334</v>
      </c>
      <c r="I25" s="22"/>
      <c r="J25" s="22">
        <v>781740.1</v>
      </c>
      <c r="K25" s="25"/>
      <c r="L25" s="70"/>
      <c r="M25" s="65" t="s">
        <v>85</v>
      </c>
      <c r="P25" s="65">
        <f>O25/2</f>
        <v>0</v>
      </c>
    </row>
    <row r="26" spans="1:16" ht="12.75">
      <c r="A26" s="22" t="s">
        <v>86</v>
      </c>
      <c r="B26" s="22"/>
      <c r="C26" s="22"/>
      <c r="D26" s="22"/>
      <c r="E26" s="22"/>
      <c r="F26" s="22"/>
      <c r="G26" s="22"/>
      <c r="H26" s="23"/>
      <c r="I26" s="22"/>
      <c r="J26" s="22">
        <v>113966.82</v>
      </c>
      <c r="K26" s="23"/>
      <c r="N26" s="65">
        <v>9</v>
      </c>
      <c r="P26" s="65">
        <f>O26/2</f>
        <v>0</v>
      </c>
    </row>
    <row r="27" spans="1:11" ht="12.75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3"/>
    </row>
    <row r="28" spans="1:16" ht="12.75">
      <c r="A28" s="113" t="s">
        <v>422</v>
      </c>
      <c r="B28" s="113"/>
      <c r="C28" s="113"/>
      <c r="D28" s="113"/>
      <c r="E28" s="113"/>
      <c r="F28" s="113"/>
      <c r="G28" s="22"/>
      <c r="H28" s="23">
        <f>0.057*O23</f>
        <v>328.605</v>
      </c>
      <c r="I28" s="23"/>
      <c r="J28" s="22"/>
      <c r="K28" s="23"/>
      <c r="N28" s="65">
        <v>10</v>
      </c>
      <c r="P28" s="65">
        <f>O28/2</f>
        <v>0</v>
      </c>
    </row>
    <row r="29" spans="1:11" ht="12.75">
      <c r="A29" s="24" t="s">
        <v>423</v>
      </c>
      <c r="B29" s="24"/>
      <c r="C29" s="24"/>
      <c r="D29" s="24"/>
      <c r="E29" s="24"/>
      <c r="F29" s="24"/>
      <c r="G29" s="22"/>
      <c r="H29" s="23">
        <f>O23*0.0085</f>
        <v>49.002500000000005</v>
      </c>
      <c r="I29" s="23"/>
      <c r="J29" s="22"/>
      <c r="K29" s="23"/>
    </row>
    <row r="30" spans="1:13" ht="12.75">
      <c r="A30" s="113" t="s">
        <v>424</v>
      </c>
      <c r="B30" s="113"/>
      <c r="C30" s="113"/>
      <c r="D30" s="113"/>
      <c r="E30" s="113"/>
      <c r="F30" s="113"/>
      <c r="G30" s="113"/>
      <c r="H30" s="23">
        <f>0.005*O23</f>
        <v>28.825</v>
      </c>
      <c r="I30" s="22"/>
      <c r="J30" s="22"/>
      <c r="K30" s="23"/>
      <c r="M30" s="65" t="s">
        <v>90</v>
      </c>
    </row>
    <row r="31" spans="1:11" ht="12.75">
      <c r="A31" s="24"/>
      <c r="B31" s="24"/>
      <c r="C31" s="24"/>
      <c r="D31" s="24"/>
      <c r="E31" s="24"/>
      <c r="F31" s="24"/>
      <c r="G31" s="24"/>
      <c r="H31" s="23"/>
      <c r="I31" s="22"/>
      <c r="J31" s="22"/>
      <c r="K31" s="23"/>
    </row>
    <row r="32" spans="1:15" ht="12.75">
      <c r="A32" s="113" t="s">
        <v>425</v>
      </c>
      <c r="B32" s="113"/>
      <c r="C32" s="113"/>
      <c r="D32" s="113"/>
      <c r="E32" s="113"/>
      <c r="F32" s="113"/>
      <c r="G32" s="113"/>
      <c r="H32" s="23">
        <f>O23*0.017</f>
        <v>98.00500000000001</v>
      </c>
      <c r="I32" s="22"/>
      <c r="J32" s="22">
        <v>13606.82</v>
      </c>
      <c r="K32" s="23"/>
      <c r="M32" s="65" t="s">
        <v>92</v>
      </c>
      <c r="O32" s="65">
        <v>48</v>
      </c>
    </row>
    <row r="33" spans="1:11" ht="12.75">
      <c r="A33" s="24"/>
      <c r="B33" s="24"/>
      <c r="C33" s="24"/>
      <c r="D33" s="24"/>
      <c r="E33" s="24"/>
      <c r="F33" s="24"/>
      <c r="G33" s="24"/>
      <c r="H33" s="23"/>
      <c r="I33" s="22"/>
      <c r="J33" s="22"/>
      <c r="K33" s="23"/>
    </row>
    <row r="34" spans="1:15" ht="12.75">
      <c r="A34" s="113" t="s">
        <v>93</v>
      </c>
      <c r="B34" s="113"/>
      <c r="C34" s="113"/>
      <c r="D34" s="113"/>
      <c r="E34" s="113"/>
      <c r="F34" s="113"/>
      <c r="G34" s="113"/>
      <c r="H34" s="23">
        <f>0.054*O23*1.058</f>
        <v>329.36598000000004</v>
      </c>
      <c r="I34" s="22"/>
      <c r="J34" s="22"/>
      <c r="K34" s="23"/>
      <c r="M34" s="65" t="s">
        <v>94</v>
      </c>
      <c r="O34" s="65">
        <v>750</v>
      </c>
    </row>
    <row r="35" spans="1:11" ht="12.75">
      <c r="A35" s="24"/>
      <c r="B35" s="24"/>
      <c r="C35" s="24"/>
      <c r="D35" s="24"/>
      <c r="E35" s="24"/>
      <c r="F35" s="24"/>
      <c r="G35" s="24"/>
      <c r="H35" s="23"/>
      <c r="I35" s="22"/>
      <c r="J35" s="22"/>
      <c r="K35" s="23"/>
    </row>
    <row r="36" spans="1:15" ht="15.75">
      <c r="A36" s="110" t="s">
        <v>95</v>
      </c>
      <c r="B36" s="110"/>
      <c r="C36" s="110"/>
      <c r="D36" s="110"/>
      <c r="E36" s="110"/>
      <c r="F36" s="20"/>
      <c r="G36" s="20"/>
      <c r="H36" s="27"/>
      <c r="I36" s="20"/>
      <c r="J36" s="20"/>
      <c r="K36" s="21">
        <f>H38+H40+H42+H44+H46+H48+H50+H54+H56+H58+H60+K56+H52+H62</f>
        <v>10613.4142</v>
      </c>
      <c r="M36" s="65" t="s">
        <v>96</v>
      </c>
      <c r="O36" s="69">
        <f>K324</f>
        <v>1.5799470676947323</v>
      </c>
    </row>
    <row r="37" spans="1:15" ht="12.75">
      <c r="A37" s="22"/>
      <c r="B37" s="22" t="s">
        <v>64</v>
      </c>
      <c r="C37" s="22"/>
      <c r="D37" s="22"/>
      <c r="E37" s="22"/>
      <c r="F37" s="22"/>
      <c r="G37" s="22"/>
      <c r="H37" s="28"/>
      <c r="I37" s="22"/>
      <c r="J37" s="22"/>
      <c r="K37" s="29"/>
      <c r="M37" s="65" t="s">
        <v>97</v>
      </c>
      <c r="O37" s="69">
        <f>O24*1.5/12/11.25</f>
        <v>3.8666666666666667</v>
      </c>
    </row>
    <row r="38" spans="1:11" ht="12.75">
      <c r="A38" s="113" t="s">
        <v>426</v>
      </c>
      <c r="B38" s="113"/>
      <c r="C38" s="113"/>
      <c r="D38" s="113"/>
      <c r="E38" s="113"/>
      <c r="F38" s="113"/>
      <c r="G38" s="113"/>
      <c r="H38" s="28">
        <f>(O24*1.5)/12*90.3*1.058</f>
        <v>4155.8769</v>
      </c>
      <c r="I38" s="22"/>
      <c r="J38" s="22"/>
      <c r="K38" s="29"/>
    </row>
    <row r="39" spans="1:11" ht="12.75">
      <c r="A39" s="24"/>
      <c r="B39" s="24"/>
      <c r="C39" s="24"/>
      <c r="D39" s="24"/>
      <c r="E39" s="24"/>
      <c r="F39" s="24"/>
      <c r="G39" s="24"/>
      <c r="H39" s="28"/>
      <c r="I39" s="22"/>
      <c r="J39" s="22"/>
      <c r="K39" s="29"/>
    </row>
    <row r="40" spans="1:11" ht="12.75">
      <c r="A40" s="113" t="s">
        <v>427</v>
      </c>
      <c r="B40" s="113"/>
      <c r="C40" s="113"/>
      <c r="D40" s="113"/>
      <c r="E40" s="113"/>
      <c r="F40" s="113"/>
      <c r="G40" s="113"/>
      <c r="H40" s="28">
        <f>O24*1.5*33.1/12*1.058</f>
        <v>1523.3613000000003</v>
      </c>
      <c r="I40" s="22"/>
      <c r="J40" s="22"/>
      <c r="K40" s="29"/>
    </row>
    <row r="41" spans="1:11" ht="12.75">
      <c r="A41" s="24"/>
      <c r="B41" s="24"/>
      <c r="C41" s="24"/>
      <c r="D41" s="24"/>
      <c r="E41" s="24"/>
      <c r="F41" s="24"/>
      <c r="G41" s="24"/>
      <c r="H41" s="28"/>
      <c r="I41" s="22"/>
      <c r="J41" s="22"/>
      <c r="K41" s="29"/>
    </row>
    <row r="42" spans="1:11" ht="12.75">
      <c r="A42" s="113" t="s">
        <v>428</v>
      </c>
      <c r="B42" s="113"/>
      <c r="C42" s="113"/>
      <c r="D42" s="113"/>
      <c r="E42" s="113"/>
      <c r="F42" s="113"/>
      <c r="G42" s="113"/>
      <c r="H42" s="28">
        <f>O34*2.24*1.229</f>
        <v>2064.7200000000003</v>
      </c>
      <c r="I42" s="22"/>
      <c r="J42" s="22"/>
      <c r="K42" s="29"/>
    </row>
    <row r="43" spans="1:11" ht="12.75">
      <c r="A43" s="24"/>
      <c r="B43" s="24"/>
      <c r="C43" s="24"/>
      <c r="D43" s="24"/>
      <c r="E43" s="24"/>
      <c r="F43" s="24"/>
      <c r="G43" s="24"/>
      <c r="H43" s="28"/>
      <c r="I43" s="22"/>
      <c r="J43" s="22"/>
      <c r="K43" s="29"/>
    </row>
    <row r="44" spans="1:11" ht="12.75">
      <c r="A44" s="113" t="s">
        <v>429</v>
      </c>
      <c r="B44" s="113"/>
      <c r="C44" s="113"/>
      <c r="D44" s="113"/>
      <c r="E44" s="113"/>
      <c r="F44" s="113"/>
      <c r="G44" s="113"/>
      <c r="H44" s="28">
        <f>O23*0.0277</f>
        <v>159.6905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1" ht="12.75">
      <c r="A46" s="113" t="s">
        <v>430</v>
      </c>
      <c r="B46" s="113"/>
      <c r="C46" s="113"/>
      <c r="D46" s="113"/>
      <c r="E46" s="113"/>
      <c r="F46" s="113"/>
      <c r="G46" s="113"/>
      <c r="H46" s="28">
        <f>O23*0.0027</f>
        <v>15.5655</v>
      </c>
      <c r="I46" s="22"/>
      <c r="J46" s="22"/>
      <c r="K46" s="29"/>
    </row>
    <row r="47" spans="1:11" ht="12.75">
      <c r="A47" s="24"/>
      <c r="B47" s="24"/>
      <c r="C47" s="24"/>
      <c r="D47" s="24"/>
      <c r="E47" s="24"/>
      <c r="F47" s="24"/>
      <c r="G47" s="24"/>
      <c r="H47" s="28"/>
      <c r="I47" s="22"/>
      <c r="J47" s="22"/>
      <c r="K47" s="29"/>
    </row>
    <row r="48" spans="1:11" ht="12.75">
      <c r="A48" s="113" t="s">
        <v>103</v>
      </c>
      <c r="B48" s="113"/>
      <c r="C48" s="113"/>
      <c r="D48" s="113"/>
      <c r="E48" s="113"/>
      <c r="F48" s="113"/>
      <c r="G48" s="113"/>
      <c r="H48" s="28">
        <f>O32*4.81/12</f>
        <v>19.24</v>
      </c>
      <c r="I48" s="22"/>
      <c r="J48" s="22"/>
      <c r="K48" s="29"/>
    </row>
    <row r="49" spans="1:11" ht="12.75">
      <c r="A49" s="24"/>
      <c r="B49" s="24"/>
      <c r="C49" s="24"/>
      <c r="D49" s="24"/>
      <c r="E49" s="24"/>
      <c r="F49" s="24"/>
      <c r="G49" s="24"/>
      <c r="H49" s="28"/>
      <c r="I49" s="22"/>
      <c r="J49" s="22"/>
      <c r="K49" s="29"/>
    </row>
    <row r="50" spans="1:11" ht="12.75">
      <c r="A50" s="113" t="s">
        <v>431</v>
      </c>
      <c r="B50" s="113"/>
      <c r="C50" s="113"/>
      <c r="D50" s="113"/>
      <c r="E50" s="113"/>
      <c r="F50" s="113"/>
      <c r="G50" s="113"/>
      <c r="H50" s="28">
        <f>O23*0.11</f>
        <v>634.15</v>
      </c>
      <c r="I50" s="22"/>
      <c r="J50" s="22"/>
      <c r="K50" s="29"/>
    </row>
    <row r="51" spans="1:11" ht="12.75">
      <c r="A51" s="24"/>
      <c r="B51" s="24"/>
      <c r="C51" s="24"/>
      <c r="D51" s="24"/>
      <c r="E51" s="24"/>
      <c r="F51" s="24"/>
      <c r="G51" s="24"/>
      <c r="H51" s="28"/>
      <c r="I51" s="22"/>
      <c r="J51" s="22"/>
      <c r="K51" s="29"/>
    </row>
    <row r="52" spans="1:11" ht="12.75">
      <c r="A52" s="30" t="s">
        <v>432</v>
      </c>
      <c r="B52" s="30"/>
      <c r="C52" s="30"/>
      <c r="D52" s="30"/>
      <c r="E52" s="30"/>
      <c r="F52" s="30"/>
      <c r="G52" s="30"/>
      <c r="H52" s="31">
        <f>O23*0.216</f>
        <v>1245.24</v>
      </c>
      <c r="I52" s="22"/>
      <c r="J52" s="22"/>
      <c r="K52" s="29"/>
    </row>
    <row r="53" spans="1:11" ht="12.75">
      <c r="A53" s="30"/>
      <c r="B53" s="30"/>
      <c r="C53" s="30"/>
      <c r="D53" s="30"/>
      <c r="E53" s="30"/>
      <c r="F53" s="30"/>
      <c r="G53" s="30"/>
      <c r="H53" s="31"/>
      <c r="I53" s="22"/>
      <c r="J53" s="22"/>
      <c r="K53" s="29"/>
    </row>
    <row r="54" spans="1:11" ht="12.75">
      <c r="A54" s="113" t="s">
        <v>433</v>
      </c>
      <c r="B54" s="113"/>
      <c r="C54" s="113"/>
      <c r="D54" s="113"/>
      <c r="E54" s="113"/>
      <c r="F54" s="113"/>
      <c r="G54" s="113"/>
      <c r="H54" s="28">
        <f>O23*0.027</f>
        <v>155.655</v>
      </c>
      <c r="I54" s="22"/>
      <c r="J54" s="32"/>
      <c r="K54" s="29"/>
    </row>
    <row r="55" spans="1:11" ht="12.75">
      <c r="A55" s="24"/>
      <c r="B55" s="24"/>
      <c r="C55" s="24"/>
      <c r="D55" s="24"/>
      <c r="E55" s="24"/>
      <c r="F55" s="24"/>
      <c r="G55" s="24"/>
      <c r="H55" s="28"/>
      <c r="I55" s="22"/>
      <c r="J55" s="32"/>
      <c r="K55" s="29"/>
    </row>
    <row r="56" spans="1:11" ht="12.75">
      <c r="A56" s="113" t="s">
        <v>434</v>
      </c>
      <c r="B56" s="113"/>
      <c r="C56" s="113"/>
      <c r="D56" s="113"/>
      <c r="E56" s="113"/>
      <c r="F56" s="113"/>
      <c r="G56" s="113"/>
      <c r="H56" s="28">
        <f>O23*0.022</f>
        <v>126.83</v>
      </c>
      <c r="I56" s="22"/>
      <c r="J56" s="22"/>
      <c r="K56" s="29"/>
    </row>
    <row r="57" spans="1:11" ht="12.75">
      <c r="A57" s="24"/>
      <c r="B57" s="24"/>
      <c r="C57" s="24"/>
      <c r="D57" s="24"/>
      <c r="E57" s="24"/>
      <c r="F57" s="24"/>
      <c r="G57" s="24"/>
      <c r="H57" s="28"/>
      <c r="I57" s="22"/>
      <c r="J57" s="22"/>
      <c r="K57" s="29"/>
    </row>
    <row r="58" spans="1:11" ht="12.75">
      <c r="A58" s="113" t="s">
        <v>435</v>
      </c>
      <c r="B58" s="113"/>
      <c r="C58" s="113"/>
      <c r="D58" s="113"/>
      <c r="E58" s="113"/>
      <c r="F58" s="113"/>
      <c r="G58" s="113"/>
      <c r="H58" s="28">
        <f>O23*0.022</f>
        <v>126.83</v>
      </c>
      <c r="I58" s="22"/>
      <c r="J58" s="22"/>
      <c r="K58" s="29"/>
    </row>
    <row r="59" spans="1:11" ht="12.75">
      <c r="A59" s="24"/>
      <c r="B59" s="24"/>
      <c r="C59" s="24"/>
      <c r="D59" s="24"/>
      <c r="E59" s="24"/>
      <c r="F59" s="24"/>
      <c r="G59" s="24"/>
      <c r="H59" s="28"/>
      <c r="I59" s="22"/>
      <c r="J59" s="22"/>
      <c r="K59" s="29"/>
    </row>
    <row r="60" spans="1:11" ht="12.75">
      <c r="A60" s="113" t="s">
        <v>436</v>
      </c>
      <c r="B60" s="113"/>
      <c r="C60" s="113"/>
      <c r="D60" s="113"/>
      <c r="E60" s="113"/>
      <c r="F60" s="113"/>
      <c r="G60" s="24"/>
      <c r="H60" s="28">
        <f>O23*0.053</f>
        <v>305.545</v>
      </c>
      <c r="I60" s="22"/>
      <c r="J60" s="22"/>
      <c r="K60" s="29"/>
    </row>
    <row r="61" spans="1:11" ht="12.75">
      <c r="A61" s="24"/>
      <c r="B61" s="24"/>
      <c r="C61" s="24"/>
      <c r="D61" s="24"/>
      <c r="E61" s="24"/>
      <c r="F61" s="24"/>
      <c r="G61" s="24"/>
      <c r="H61" s="28"/>
      <c r="I61" s="22"/>
      <c r="J61" s="22"/>
      <c r="K61" s="29"/>
    </row>
    <row r="62" spans="1:11" ht="12.75">
      <c r="A62" s="113" t="s">
        <v>437</v>
      </c>
      <c r="B62" s="113"/>
      <c r="C62" s="113"/>
      <c r="D62" s="113"/>
      <c r="E62" s="113"/>
      <c r="F62" s="113"/>
      <c r="G62" s="24"/>
      <c r="H62" s="28">
        <f>O23*0.014</f>
        <v>80.71000000000001</v>
      </c>
      <c r="I62" s="22"/>
      <c r="J62" s="22"/>
      <c r="K62" s="29"/>
    </row>
    <row r="63" spans="1:11" ht="12.75">
      <c r="A63" s="24"/>
      <c r="B63" s="24"/>
      <c r="C63" s="24"/>
      <c r="D63" s="24"/>
      <c r="E63" s="24"/>
      <c r="F63" s="24"/>
      <c r="G63" s="24"/>
      <c r="H63" s="28"/>
      <c r="I63" s="22"/>
      <c r="J63" s="22"/>
      <c r="K63" s="29"/>
    </row>
    <row r="64" spans="1:13" ht="15.75">
      <c r="A64" s="20" t="s">
        <v>111</v>
      </c>
      <c r="B64" s="20"/>
      <c r="C64" s="20"/>
      <c r="D64" s="20"/>
      <c r="E64" s="20"/>
      <c r="F64" s="20"/>
      <c r="G64" s="20"/>
      <c r="H64" s="27"/>
      <c r="I64" s="20"/>
      <c r="J64" s="20"/>
      <c r="K64" s="27">
        <f>H68+H70+H72+H74+H76+H78+H80+H82+H84+H86+H89</f>
        <v>23041.831350072534</v>
      </c>
      <c r="M64" s="71" t="e">
        <f>K64/309084*#REF!</f>
        <v>#REF!</v>
      </c>
    </row>
    <row r="65" spans="1:11" ht="12.75">
      <c r="A65" s="22"/>
      <c r="B65" s="22" t="s">
        <v>64</v>
      </c>
      <c r="C65" s="22"/>
      <c r="D65" s="22"/>
      <c r="E65" s="22"/>
      <c r="F65" s="22"/>
      <c r="G65" s="22"/>
      <c r="H65" s="28"/>
      <c r="I65" s="22"/>
      <c r="J65" s="22"/>
      <c r="K65" s="29"/>
    </row>
    <row r="66" spans="1:11" ht="12.75">
      <c r="A66" s="33" t="s">
        <v>112</v>
      </c>
      <c r="B66" s="33"/>
      <c r="C66" s="33"/>
      <c r="D66" s="33"/>
      <c r="E66" s="33"/>
      <c r="F66" s="33"/>
      <c r="G66" s="33"/>
      <c r="H66" s="34"/>
      <c r="I66" s="33"/>
      <c r="J66" s="33"/>
      <c r="K66" s="35"/>
    </row>
    <row r="67" spans="1:11" ht="12.75">
      <c r="A67" s="33"/>
      <c r="B67" s="33"/>
      <c r="C67" s="33"/>
      <c r="D67" s="33"/>
      <c r="E67" s="33"/>
      <c r="F67" s="33"/>
      <c r="G67" s="33"/>
      <c r="H67" s="34"/>
      <c r="I67" s="33"/>
      <c r="J67" s="33"/>
      <c r="K67" s="35"/>
    </row>
    <row r="68" spans="1:11" ht="12.75">
      <c r="A68" s="111" t="s">
        <v>113</v>
      </c>
      <c r="B68" s="111"/>
      <c r="C68" s="111"/>
      <c r="D68" s="111"/>
      <c r="E68" s="111"/>
      <c r="F68" s="111"/>
      <c r="G68" s="36"/>
      <c r="H68" s="37">
        <f>K324*24.48*165.1*1.5*1.07</f>
        <v>10248.871799538118</v>
      </c>
      <c r="I68" s="38"/>
      <c r="J68" s="38"/>
      <c r="K68" s="35"/>
    </row>
    <row r="69" spans="1:11" ht="12.75">
      <c r="A69" s="33" t="s">
        <v>114</v>
      </c>
      <c r="B69" s="33"/>
      <c r="C69" s="33"/>
      <c r="D69" s="33"/>
      <c r="E69" s="33"/>
      <c r="F69" s="33"/>
      <c r="G69" s="33"/>
      <c r="H69" s="34"/>
      <c r="I69" s="33"/>
      <c r="J69" s="33"/>
      <c r="K69" s="35"/>
    </row>
    <row r="70" spans="1:11" ht="12.75">
      <c r="A70" s="39">
        <f>H68</f>
        <v>10248.871799538118</v>
      </c>
      <c r="B70" s="36" t="s">
        <v>115</v>
      </c>
      <c r="C70" s="36"/>
      <c r="D70" s="36"/>
      <c r="E70" s="36"/>
      <c r="F70" s="36"/>
      <c r="G70" s="38"/>
      <c r="H70" s="37">
        <f>H68*14.2%</f>
        <v>1455.3397955344126</v>
      </c>
      <c r="I70" s="38"/>
      <c r="J70" s="38"/>
      <c r="K70" s="35"/>
    </row>
    <row r="71" spans="1:11" ht="12.75">
      <c r="A71" s="119"/>
      <c r="B71" s="119"/>
      <c r="C71" s="119"/>
      <c r="D71" s="119"/>
      <c r="E71" s="119"/>
      <c r="F71" s="40"/>
      <c r="G71" s="40"/>
      <c r="H71" s="37"/>
      <c r="I71" s="38"/>
      <c r="J71" s="38"/>
      <c r="K71" s="35"/>
    </row>
    <row r="72" spans="1:11" ht="12.75">
      <c r="A72" s="30" t="s">
        <v>86</v>
      </c>
      <c r="B72" s="30"/>
      <c r="C72" s="30"/>
      <c r="D72" s="30"/>
      <c r="E72" s="30"/>
      <c r="F72" s="40"/>
      <c r="G72" s="40"/>
      <c r="H72" s="37">
        <f>0.04*O23</f>
        <v>230.6</v>
      </c>
      <c r="I72" s="38"/>
      <c r="J72" s="38"/>
      <c r="K72" s="35"/>
    </row>
    <row r="73" spans="1:11" ht="12.75">
      <c r="A73" s="30"/>
      <c r="B73" s="30"/>
      <c r="C73" s="30"/>
      <c r="D73" s="30"/>
      <c r="E73" s="30"/>
      <c r="F73" s="40"/>
      <c r="G73" s="40"/>
      <c r="H73" s="37"/>
      <c r="I73" s="38"/>
      <c r="J73" s="38"/>
      <c r="K73" s="35"/>
    </row>
    <row r="74" spans="1:11" ht="12.75">
      <c r="A74" s="108" t="s">
        <v>438</v>
      </c>
      <c r="B74" s="108"/>
      <c r="C74" s="108"/>
      <c r="D74" s="108"/>
      <c r="E74" s="108"/>
      <c r="F74" s="108"/>
      <c r="G74" s="108"/>
      <c r="H74" s="37">
        <v>9550</v>
      </c>
      <c r="I74" s="38"/>
      <c r="J74" s="38"/>
      <c r="K74" s="35"/>
    </row>
    <row r="75" spans="1:11" ht="12.75">
      <c r="A75" s="30"/>
      <c r="B75" s="30"/>
      <c r="C75" s="30"/>
      <c r="D75" s="30"/>
      <c r="E75" s="30"/>
      <c r="F75" s="30"/>
      <c r="G75" s="30"/>
      <c r="H75" s="37"/>
      <c r="I75" s="38"/>
      <c r="J75" s="38"/>
      <c r="K75" s="35"/>
    </row>
    <row r="76" spans="1:11" ht="12.75">
      <c r="A76" s="108" t="s">
        <v>439</v>
      </c>
      <c r="B76" s="108"/>
      <c r="C76" s="108"/>
      <c r="D76" s="108"/>
      <c r="E76" s="108"/>
      <c r="F76" s="30"/>
      <c r="G76" s="30"/>
      <c r="H76" s="37">
        <f>0.0037*O23</f>
        <v>21.3305</v>
      </c>
      <c r="I76" s="38"/>
      <c r="J76" s="38"/>
      <c r="K76" s="35"/>
    </row>
    <row r="77" spans="1:11" ht="12.75">
      <c r="A77" s="30"/>
      <c r="B77" s="30"/>
      <c r="C77" s="30"/>
      <c r="D77" s="30"/>
      <c r="E77" s="30"/>
      <c r="F77" s="30"/>
      <c r="G77" s="30"/>
      <c r="H77" s="37"/>
      <c r="I77" s="38"/>
      <c r="J77" s="38"/>
      <c r="K77" s="35"/>
    </row>
    <row r="78" spans="1:12" ht="12.75">
      <c r="A78" s="108" t="s">
        <v>440</v>
      </c>
      <c r="B78" s="108"/>
      <c r="C78" s="108"/>
      <c r="D78" s="108"/>
      <c r="E78" s="108"/>
      <c r="F78" s="108"/>
      <c r="G78" s="108"/>
      <c r="H78" s="37">
        <f>O23*0.082</f>
        <v>472.73</v>
      </c>
      <c r="I78" s="38"/>
      <c r="J78" s="38"/>
      <c r="K78" s="35"/>
      <c r="L78" s="69"/>
    </row>
    <row r="79" spans="1:12" ht="12.75">
      <c r="A79" s="30"/>
      <c r="B79" s="30"/>
      <c r="C79" s="30"/>
      <c r="D79" s="30"/>
      <c r="E79" s="30"/>
      <c r="F79" s="30"/>
      <c r="G79" s="30"/>
      <c r="H79" s="37"/>
      <c r="I79" s="38"/>
      <c r="J79" s="38"/>
      <c r="K79" s="35"/>
      <c r="L79" s="69"/>
    </row>
    <row r="80" spans="1:13" ht="12.75">
      <c r="A80" s="108" t="s">
        <v>441</v>
      </c>
      <c r="B80" s="108"/>
      <c r="C80" s="108"/>
      <c r="D80" s="108"/>
      <c r="E80" s="108"/>
      <c r="F80" s="108"/>
      <c r="G80" s="108"/>
      <c r="H80" s="31">
        <f>O23*0.023*1.229</f>
        <v>162.959255</v>
      </c>
      <c r="I80" s="33"/>
      <c r="J80" s="33"/>
      <c r="K80" s="35"/>
      <c r="M80" s="65" t="e">
        <f>36646.37/309083*#REF!</f>
        <v>#REF!</v>
      </c>
    </row>
    <row r="81" spans="1:11" ht="12.75">
      <c r="A81" s="30"/>
      <c r="B81" s="30"/>
      <c r="C81" s="30"/>
      <c r="D81" s="30"/>
      <c r="E81" s="30"/>
      <c r="F81" s="30"/>
      <c r="G81" s="30"/>
      <c r="H81" s="31"/>
      <c r="I81" s="33"/>
      <c r="J81" s="33"/>
      <c r="K81" s="35"/>
    </row>
    <row r="82" spans="1:11" ht="12.75">
      <c r="A82" s="111" t="s">
        <v>442</v>
      </c>
      <c r="B82" s="111"/>
      <c r="C82" s="111"/>
      <c r="D82" s="111"/>
      <c r="E82" s="111"/>
      <c r="F82" s="111"/>
      <c r="G82" s="111"/>
      <c r="H82" s="31">
        <v>100</v>
      </c>
      <c r="I82" s="33"/>
      <c r="J82" s="33"/>
      <c r="K82" s="35"/>
    </row>
    <row r="83" spans="1:11" ht="12.75">
      <c r="A83" s="36"/>
      <c r="B83" s="36"/>
      <c r="C83" s="36"/>
      <c r="D83" s="36"/>
      <c r="E83" s="36"/>
      <c r="F83" s="36"/>
      <c r="G83" s="36"/>
      <c r="H83" s="31"/>
      <c r="I83" s="33"/>
      <c r="J83" s="33"/>
      <c r="K83" s="35"/>
    </row>
    <row r="84" spans="1:11" ht="12.75">
      <c r="A84" s="41" t="s">
        <v>120</v>
      </c>
      <c r="B84" s="41"/>
      <c r="C84" s="41"/>
      <c r="D84" s="41"/>
      <c r="E84" s="40"/>
      <c r="F84" s="40"/>
      <c r="G84" s="40"/>
      <c r="H84" s="31">
        <v>300</v>
      </c>
      <c r="I84" s="40"/>
      <c r="J84" s="40"/>
      <c r="K84" s="35"/>
    </row>
    <row r="85" spans="1:11" ht="12.75">
      <c r="A85" s="41"/>
      <c r="B85" s="41"/>
      <c r="C85" s="41"/>
      <c r="D85" s="41"/>
      <c r="E85" s="40"/>
      <c r="F85" s="40"/>
      <c r="G85" s="40"/>
      <c r="H85" s="31"/>
      <c r="I85" s="40"/>
      <c r="J85" s="40"/>
      <c r="K85" s="35"/>
    </row>
    <row r="86" spans="1:11" ht="12.75">
      <c r="A86" s="108" t="s">
        <v>376</v>
      </c>
      <c r="B86" s="108"/>
      <c r="C86" s="108"/>
      <c r="D86" s="108"/>
      <c r="E86" s="108"/>
      <c r="F86" s="108"/>
      <c r="G86" s="120"/>
      <c r="H86" s="37">
        <v>300</v>
      </c>
      <c r="I86" s="38"/>
      <c r="J86" s="38"/>
      <c r="K86" s="35"/>
    </row>
    <row r="87" spans="1:11" ht="12.75" customHeight="1" hidden="1">
      <c r="A87" s="38"/>
      <c r="B87" s="38"/>
      <c r="C87" s="38"/>
      <c r="D87" s="40"/>
      <c r="E87" s="40"/>
      <c r="F87" s="40"/>
      <c r="G87" s="40"/>
      <c r="H87" s="121"/>
      <c r="I87" s="40"/>
      <c r="J87" s="40"/>
      <c r="K87" s="122"/>
    </row>
    <row r="88" spans="1:11" ht="12.75" customHeight="1">
      <c r="A88" s="38"/>
      <c r="B88" s="38"/>
      <c r="C88" s="38"/>
      <c r="D88" s="40"/>
      <c r="E88" s="40"/>
      <c r="F88" s="40"/>
      <c r="G88" s="40"/>
      <c r="H88" s="121"/>
      <c r="I88" s="40"/>
      <c r="J88" s="40"/>
      <c r="K88" s="122"/>
    </row>
    <row r="89" spans="1:11" ht="12.75">
      <c r="A89" s="38" t="s">
        <v>377</v>
      </c>
      <c r="B89" s="38"/>
      <c r="C89" s="38"/>
      <c r="D89" s="40"/>
      <c r="E89" s="40"/>
      <c r="F89" s="40"/>
      <c r="G89" s="44"/>
      <c r="H89" s="31">
        <v>200</v>
      </c>
      <c r="I89" s="40"/>
      <c r="J89" s="40"/>
      <c r="K89" s="122"/>
    </row>
    <row r="90" spans="1:11" ht="12.75">
      <c r="A90" s="38"/>
      <c r="B90" s="38"/>
      <c r="C90" s="38"/>
      <c r="D90" s="40"/>
      <c r="E90" s="40"/>
      <c r="F90" s="40"/>
      <c r="G90" s="44"/>
      <c r="H90" s="31"/>
      <c r="I90" s="40"/>
      <c r="J90" s="40"/>
      <c r="K90" s="122"/>
    </row>
    <row r="91" spans="1:13" ht="15.75">
      <c r="A91" s="110" t="s">
        <v>121</v>
      </c>
      <c r="B91" s="110"/>
      <c r="C91" s="110"/>
      <c r="D91" s="110"/>
      <c r="E91" s="42"/>
      <c r="F91" s="42"/>
      <c r="G91" s="20"/>
      <c r="H91" s="27"/>
      <c r="I91" s="20"/>
      <c r="J91" s="20"/>
      <c r="K91" s="21">
        <f>H94+H95+H97+H99</f>
        <v>4167.5185</v>
      </c>
      <c r="M91" s="72" t="e">
        <f>51932.37/301083*#REF!</f>
        <v>#REF!</v>
      </c>
    </row>
    <row r="92" spans="1:13" ht="15.75">
      <c r="A92" s="125"/>
      <c r="B92" s="125"/>
      <c r="C92" s="125"/>
      <c r="D92" s="125"/>
      <c r="E92" s="130"/>
      <c r="F92" s="130"/>
      <c r="G92" s="54"/>
      <c r="H92" s="131"/>
      <c r="I92" s="54"/>
      <c r="J92" s="54"/>
      <c r="K92" s="56"/>
      <c r="M92" s="72"/>
    </row>
    <row r="93" spans="1:11" ht="12.75">
      <c r="A93" s="111" t="s">
        <v>122</v>
      </c>
      <c r="B93" s="111"/>
      <c r="C93" s="111"/>
      <c r="D93" s="111"/>
      <c r="E93" s="111"/>
      <c r="F93" s="111"/>
      <c r="G93" s="36"/>
      <c r="H93" s="37"/>
      <c r="I93" s="36"/>
      <c r="J93" s="36"/>
      <c r="K93" s="35"/>
    </row>
    <row r="94" spans="1:11" ht="12.75">
      <c r="A94" s="36" t="s">
        <v>443</v>
      </c>
      <c r="B94" s="36"/>
      <c r="C94" s="36"/>
      <c r="D94" s="36"/>
      <c r="E94" s="36"/>
      <c r="F94" s="36"/>
      <c r="G94" s="36"/>
      <c r="H94" s="37">
        <f>0.2227*O23</f>
        <v>1283.8655</v>
      </c>
      <c r="I94" s="36"/>
      <c r="J94" s="36"/>
      <c r="K94" s="35"/>
    </row>
    <row r="95" spans="1:11" ht="12.75">
      <c r="A95" s="30" t="s">
        <v>444</v>
      </c>
      <c r="B95" s="43"/>
      <c r="C95" s="30"/>
      <c r="D95" s="30"/>
      <c r="E95" s="44"/>
      <c r="F95" s="38"/>
      <c r="G95" s="38"/>
      <c r="H95" s="37">
        <f>0.0257*O23</f>
        <v>148.1605</v>
      </c>
      <c r="I95" s="38"/>
      <c r="J95" s="38"/>
      <c r="K95" s="35"/>
    </row>
    <row r="96" spans="1:11" ht="12.75">
      <c r="A96" s="30"/>
      <c r="B96" s="43"/>
      <c r="C96" s="30"/>
      <c r="D96" s="30"/>
      <c r="E96" s="44"/>
      <c r="F96" s="38"/>
      <c r="G96" s="38"/>
      <c r="H96" s="37"/>
      <c r="I96" s="38"/>
      <c r="J96" s="38"/>
      <c r="K96" s="35"/>
    </row>
    <row r="97" spans="1:11" ht="12.75">
      <c r="A97" s="111" t="s">
        <v>445</v>
      </c>
      <c r="B97" s="111"/>
      <c r="C97" s="111"/>
      <c r="D97" s="111"/>
      <c r="E97" s="111"/>
      <c r="F97" s="38"/>
      <c r="G97" s="38"/>
      <c r="H97" s="37">
        <f>0.0945*O23</f>
        <v>544.7925</v>
      </c>
      <c r="I97" s="38"/>
      <c r="J97" s="38"/>
      <c r="K97" s="35"/>
    </row>
    <row r="98" spans="1:11" ht="12.75">
      <c r="A98" s="36"/>
      <c r="B98" s="36"/>
      <c r="C98" s="36"/>
      <c r="D98" s="36"/>
      <c r="E98" s="36"/>
      <c r="F98" s="38"/>
      <c r="G98" s="38"/>
      <c r="H98" s="37"/>
      <c r="I98" s="38"/>
      <c r="J98" s="38"/>
      <c r="K98" s="35"/>
    </row>
    <row r="99" spans="1:11" ht="12.75">
      <c r="A99" s="36" t="s">
        <v>446</v>
      </c>
      <c r="B99" s="36"/>
      <c r="C99" s="36"/>
      <c r="D99" s="36"/>
      <c r="E99" s="36"/>
      <c r="F99" s="38"/>
      <c r="G99" s="38"/>
      <c r="H99" s="37">
        <f>0.38*O23</f>
        <v>2190.7</v>
      </c>
      <c r="I99" s="38"/>
      <c r="J99" s="38"/>
      <c r="K99" s="45"/>
    </row>
    <row r="100" spans="1:11" ht="12.75">
      <c r="A100" s="30"/>
      <c r="B100" s="30"/>
      <c r="C100" s="30"/>
      <c r="D100" s="30"/>
      <c r="E100" s="38"/>
      <c r="F100" s="38"/>
      <c r="G100" s="38"/>
      <c r="H100" s="37"/>
      <c r="I100" s="38"/>
      <c r="J100" s="38"/>
      <c r="K100" s="35"/>
    </row>
    <row r="101" spans="1:13" ht="15.75">
      <c r="A101" s="26" t="s">
        <v>127</v>
      </c>
      <c r="B101" s="26"/>
      <c r="C101" s="26"/>
      <c r="D101" s="26"/>
      <c r="E101" s="26"/>
      <c r="F101" s="26"/>
      <c r="G101" s="26"/>
      <c r="H101" s="46"/>
      <c r="I101" s="20"/>
      <c r="J101" s="20"/>
      <c r="K101" s="21">
        <f>O23*0.94</f>
        <v>5419.099999999999</v>
      </c>
      <c r="M101" s="71" t="e">
        <f>231179.9/309083*#REF!</f>
        <v>#REF!</v>
      </c>
    </row>
    <row r="102" spans="1:11" ht="15.75">
      <c r="A102" s="47"/>
      <c r="B102" s="47"/>
      <c r="C102" s="112" t="s">
        <v>64</v>
      </c>
      <c r="D102" s="112"/>
      <c r="E102" s="47"/>
      <c r="F102" s="47"/>
      <c r="G102" s="47"/>
      <c r="H102" s="48"/>
      <c r="I102" s="47"/>
      <c r="J102" s="47"/>
      <c r="K102" s="49"/>
    </row>
    <row r="103" spans="1:11" ht="12.75">
      <c r="A103" s="30" t="s">
        <v>128</v>
      </c>
      <c r="B103" s="30"/>
      <c r="C103" s="30"/>
      <c r="D103" s="30"/>
      <c r="E103" s="30"/>
      <c r="F103" s="30"/>
      <c r="G103" s="30"/>
      <c r="H103" s="37"/>
      <c r="I103" s="38"/>
      <c r="J103" s="38"/>
      <c r="K103" s="35"/>
    </row>
    <row r="104" spans="1:11" ht="12.75">
      <c r="A104" s="30"/>
      <c r="B104" s="30"/>
      <c r="C104" s="30"/>
      <c r="D104" s="30"/>
      <c r="E104" s="30"/>
      <c r="F104" s="30"/>
      <c r="G104" s="30"/>
      <c r="H104" s="37"/>
      <c r="I104" s="38"/>
      <c r="J104" s="38"/>
      <c r="K104" s="35"/>
    </row>
    <row r="105" spans="1:11" ht="12.75">
      <c r="A105" s="30" t="s">
        <v>129</v>
      </c>
      <c r="B105" s="43"/>
      <c r="C105" s="30"/>
      <c r="D105" s="30"/>
      <c r="E105" s="30"/>
      <c r="F105" s="44"/>
      <c r="G105" s="44"/>
      <c r="H105" s="37"/>
      <c r="I105" s="38"/>
      <c r="J105" s="38"/>
      <c r="K105" s="35"/>
    </row>
    <row r="106" spans="1:11" ht="12.75">
      <c r="A106" s="30"/>
      <c r="B106" s="43"/>
      <c r="C106" s="30"/>
      <c r="D106" s="30"/>
      <c r="E106" s="30"/>
      <c r="F106" s="44"/>
      <c r="G106" s="44"/>
      <c r="H106" s="37"/>
      <c r="I106" s="38"/>
      <c r="J106" s="38"/>
      <c r="K106" s="35"/>
    </row>
    <row r="107" spans="1:11" ht="12.75">
      <c r="A107" s="108" t="s">
        <v>130</v>
      </c>
      <c r="B107" s="108"/>
      <c r="C107" s="108"/>
      <c r="D107" s="108"/>
      <c r="E107" s="108"/>
      <c r="F107" s="108"/>
      <c r="G107" s="44"/>
      <c r="H107" s="37"/>
      <c r="I107" s="38"/>
      <c r="J107" s="38"/>
      <c r="K107" s="35"/>
    </row>
    <row r="108" spans="1:11" ht="12.75">
      <c r="A108" s="30"/>
      <c r="B108" s="30"/>
      <c r="C108" s="30"/>
      <c r="D108" s="30"/>
      <c r="E108" s="30"/>
      <c r="F108" s="30"/>
      <c r="G108" s="44"/>
      <c r="H108" s="37"/>
      <c r="I108" s="38"/>
      <c r="J108" s="38"/>
      <c r="K108" s="35"/>
    </row>
    <row r="109" spans="1:11" ht="12.75">
      <c r="A109" s="108" t="s">
        <v>131</v>
      </c>
      <c r="B109" s="108"/>
      <c r="C109" s="108"/>
      <c r="D109" s="108"/>
      <c r="E109" s="108"/>
      <c r="F109" s="108"/>
      <c r="G109" s="108"/>
      <c r="H109" s="37"/>
      <c r="I109" s="38"/>
      <c r="J109" s="38"/>
      <c r="K109" s="35"/>
    </row>
    <row r="110" spans="1:11" ht="12.75">
      <c r="A110" s="30"/>
      <c r="B110" s="30"/>
      <c r="C110" s="30"/>
      <c r="D110" s="30"/>
      <c r="E110" s="30"/>
      <c r="F110" s="30"/>
      <c r="G110" s="30"/>
      <c r="H110" s="37"/>
      <c r="I110" s="38"/>
      <c r="J110" s="38"/>
      <c r="K110" s="35"/>
    </row>
    <row r="111" spans="1:11" ht="12.75">
      <c r="A111" s="108" t="s">
        <v>132</v>
      </c>
      <c r="B111" s="108"/>
      <c r="C111" s="108"/>
      <c r="D111" s="108"/>
      <c r="E111" s="109"/>
      <c r="F111" s="109"/>
      <c r="G111" s="109"/>
      <c r="H111" s="37"/>
      <c r="I111" s="38"/>
      <c r="J111" s="38"/>
      <c r="K111" s="35"/>
    </row>
    <row r="112" spans="1:11" ht="12.75">
      <c r="A112" s="30"/>
      <c r="B112" s="30"/>
      <c r="C112" s="30"/>
      <c r="D112" s="30"/>
      <c r="E112" s="50"/>
      <c r="F112" s="50"/>
      <c r="G112" s="50"/>
      <c r="H112" s="37"/>
      <c r="I112" s="38"/>
      <c r="J112" s="38"/>
      <c r="K112" s="35"/>
    </row>
    <row r="113" spans="1:11" ht="12.75">
      <c r="A113" s="108" t="s">
        <v>133</v>
      </c>
      <c r="B113" s="108"/>
      <c r="C113" s="108"/>
      <c r="D113" s="108"/>
      <c r="E113" s="108"/>
      <c r="F113" s="44"/>
      <c r="G113" s="44"/>
      <c r="H113" s="37"/>
      <c r="I113" s="38"/>
      <c r="J113" s="38"/>
      <c r="K113" s="35"/>
    </row>
    <row r="114" spans="1:11" ht="12.75">
      <c r="A114" s="30"/>
      <c r="B114" s="30"/>
      <c r="C114" s="30"/>
      <c r="D114" s="30"/>
      <c r="E114" s="30"/>
      <c r="F114" s="44"/>
      <c r="G114" s="44"/>
      <c r="H114" s="37"/>
      <c r="I114" s="38"/>
      <c r="J114" s="38"/>
      <c r="K114" s="35"/>
    </row>
    <row r="115" spans="1:11" ht="12.75">
      <c r="A115" s="44" t="s">
        <v>134</v>
      </c>
      <c r="B115" s="44"/>
      <c r="C115" s="44"/>
      <c r="D115" s="44"/>
      <c r="E115" s="44"/>
      <c r="F115" s="44"/>
      <c r="G115" s="44"/>
      <c r="H115" s="37"/>
      <c r="I115" s="38"/>
      <c r="J115" s="38"/>
      <c r="K115" s="35"/>
    </row>
    <row r="116" spans="1:11" ht="12.75">
      <c r="A116" s="22"/>
      <c r="B116" s="22"/>
      <c r="C116" s="22"/>
      <c r="D116" s="22"/>
      <c r="E116" s="22"/>
      <c r="F116" s="22"/>
      <c r="G116" s="22"/>
      <c r="H116" s="28"/>
      <c r="I116" s="22"/>
      <c r="J116" s="22"/>
      <c r="K116" s="29"/>
    </row>
    <row r="117" spans="1:13" ht="15.75">
      <c r="A117" s="20" t="s">
        <v>135</v>
      </c>
      <c r="B117" s="20"/>
      <c r="C117" s="20"/>
      <c r="D117" s="20"/>
      <c r="E117" s="20"/>
      <c r="F117" s="51"/>
      <c r="G117" s="51"/>
      <c r="H117" s="52"/>
      <c r="I117" s="51"/>
      <c r="J117" s="51"/>
      <c r="K117" s="21">
        <f>0.0205*O23</f>
        <v>118.1825</v>
      </c>
      <c r="L117" s="72" t="e">
        <f>K117/309084*#REF!</f>
        <v>#REF!</v>
      </c>
      <c r="M117" s="72" t="e">
        <f>L117/309084*#REF!</f>
        <v>#REF!</v>
      </c>
    </row>
    <row r="118" spans="1:13" ht="15.75">
      <c r="A118" s="53"/>
      <c r="B118" s="54"/>
      <c r="C118" s="54"/>
      <c r="D118" s="54"/>
      <c r="E118" s="54"/>
      <c r="F118" s="53"/>
      <c r="G118" s="53"/>
      <c r="H118" s="55"/>
      <c r="I118" s="53"/>
      <c r="J118" s="53"/>
      <c r="K118" s="56"/>
      <c r="L118" s="72"/>
      <c r="M118" s="72"/>
    </row>
    <row r="119" spans="1:11" ht="15.75">
      <c r="A119" s="57" t="s">
        <v>136</v>
      </c>
      <c r="B119" s="57"/>
      <c r="C119" s="57"/>
      <c r="D119" s="58"/>
      <c r="E119" s="58"/>
      <c r="F119" s="58"/>
      <c r="G119" s="58"/>
      <c r="H119" s="59"/>
      <c r="I119" s="58"/>
      <c r="J119" s="58"/>
      <c r="K119" s="60">
        <f>K17*6%</f>
        <v>3096.9714822130018</v>
      </c>
    </row>
    <row r="120" spans="1:11" ht="15">
      <c r="A120" s="58"/>
      <c r="B120" s="61"/>
      <c r="C120" s="61"/>
      <c r="D120" s="61"/>
      <c r="E120" s="61"/>
      <c r="F120" s="61"/>
      <c r="G120" s="61"/>
      <c r="H120" s="62"/>
      <c r="I120" s="58"/>
      <c r="J120" s="58"/>
      <c r="K120" s="58"/>
    </row>
    <row r="121" spans="1:11" ht="15.75">
      <c r="A121" s="63" t="s">
        <v>137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4">
        <f>K119+K17</f>
        <v>54713.162852429705</v>
      </c>
    </row>
    <row r="122" spans="1:1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4"/>
    </row>
    <row r="123" spans="1:11" ht="15.75">
      <c r="A123" s="63" t="s">
        <v>138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4">
        <f>K121/O23</f>
        <v>9.49057464916387</v>
      </c>
    </row>
    <row r="124" spans="1:1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4"/>
    </row>
    <row r="125" spans="1:11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4"/>
    </row>
    <row r="126" spans="1:11" ht="12.7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7:11" ht="12.75">
      <c r="G127" s="123"/>
      <c r="H127" s="123"/>
      <c r="I127" s="123"/>
      <c r="J127" s="123"/>
      <c r="K127" s="123"/>
    </row>
    <row r="136" spans="3:9" s="65" customFormat="1" ht="15.75">
      <c r="C136" s="106" t="s">
        <v>139</v>
      </c>
      <c r="D136" s="107"/>
      <c r="E136" s="107"/>
      <c r="F136" s="107"/>
      <c r="G136" s="107"/>
      <c r="H136" s="107"/>
      <c r="I136" s="107"/>
    </row>
    <row r="137" spans="3:9" s="65" customFormat="1" ht="15.75">
      <c r="C137" s="74" t="s">
        <v>140</v>
      </c>
      <c r="D137" s="74" t="s">
        <v>141</v>
      </c>
      <c r="E137" s="74"/>
      <c r="F137" s="74"/>
      <c r="G137" s="75"/>
      <c r="H137" s="75"/>
      <c r="I137" s="75"/>
    </row>
    <row r="138" s="65" customFormat="1" ht="12.75"/>
    <row r="139" spans="5:8" s="65" customFormat="1" ht="12.75">
      <c r="E139" s="65" t="s">
        <v>142</v>
      </c>
      <c r="H139" s="65" t="e">
        <f>#REF!</f>
        <v>#REF!</v>
      </c>
    </row>
    <row r="140" spans="5:8" s="65" customFormat="1" ht="12.75">
      <c r="E140" s="65" t="s">
        <v>143</v>
      </c>
      <c r="H140" s="65" t="e">
        <f>#REF!</f>
        <v>#REF!</v>
      </c>
    </row>
    <row r="141" spans="5:8" s="65" customFormat="1" ht="12.75">
      <c r="E141" s="65" t="s">
        <v>144</v>
      </c>
      <c r="H141" s="65" t="e">
        <f>#REF!</f>
        <v>#REF!</v>
      </c>
    </row>
    <row r="142" spans="5:8" s="65" customFormat="1" ht="12.75">
      <c r="E142" s="65" t="s">
        <v>145</v>
      </c>
      <c r="H142" s="65">
        <f>O24</f>
        <v>348</v>
      </c>
    </row>
    <row r="143" spans="5:8" s="65" customFormat="1" ht="12.75">
      <c r="E143" s="65" t="s">
        <v>146</v>
      </c>
      <c r="H143" s="65" t="e">
        <f>#REF!</f>
        <v>#REF!</v>
      </c>
    </row>
    <row r="144" s="65" customFormat="1" ht="12.75"/>
    <row r="145" spans="1:11" s="65" customFormat="1" ht="15.75">
      <c r="A145" s="105" t="s">
        <v>72</v>
      </c>
      <c r="B145" s="105"/>
      <c r="C145" s="105"/>
      <c r="D145" s="105"/>
      <c r="E145" s="105"/>
      <c r="F145" s="105"/>
      <c r="G145" s="105"/>
      <c r="H145" s="76" t="e">
        <f>H147+H149+H151+H153+H155+H157+H159</f>
        <v>#REF!</v>
      </c>
      <c r="I145" s="77" t="s">
        <v>70</v>
      </c>
      <c r="K145" s="78" t="e">
        <f>H145-20000</f>
        <v>#REF!</v>
      </c>
    </row>
    <row r="146" spans="1:7" s="65" customFormat="1" ht="12.75">
      <c r="A146" s="79"/>
      <c r="B146" s="79"/>
      <c r="C146" s="79"/>
      <c r="D146" s="79"/>
      <c r="E146" s="79"/>
      <c r="F146" s="79"/>
      <c r="G146" s="79"/>
    </row>
    <row r="147" spans="1:8" s="65" customFormat="1" ht="15.75">
      <c r="A147" s="80" t="s">
        <v>147</v>
      </c>
      <c r="B147" s="80"/>
      <c r="C147" s="80"/>
      <c r="D147" s="80"/>
      <c r="E147" s="80"/>
      <c r="F147" s="80"/>
      <c r="G147" s="80"/>
      <c r="H147" s="78">
        <f>K20</f>
        <v>8256.144820144167</v>
      </c>
    </row>
    <row r="148" spans="1:8" s="65" customFormat="1" ht="12.75">
      <c r="A148" s="79"/>
      <c r="B148" s="79"/>
      <c r="C148" s="79"/>
      <c r="D148" s="79"/>
      <c r="E148" s="79"/>
      <c r="F148" s="79"/>
      <c r="G148" s="79"/>
      <c r="H148" s="78"/>
    </row>
    <row r="149" spans="1:8" s="65" customFormat="1" ht="15.75">
      <c r="A149" s="105" t="s">
        <v>95</v>
      </c>
      <c r="B149" s="105"/>
      <c r="C149" s="105"/>
      <c r="D149" s="105"/>
      <c r="E149" s="105"/>
      <c r="F149" s="80"/>
      <c r="G149" s="80"/>
      <c r="H149" s="78">
        <f>K36</f>
        <v>10613.4142</v>
      </c>
    </row>
    <row r="150" spans="1:8" s="65" customFormat="1" ht="12.75">
      <c r="A150" s="79"/>
      <c r="B150" s="79"/>
      <c r="C150" s="79"/>
      <c r="D150" s="79"/>
      <c r="E150" s="79"/>
      <c r="F150" s="79"/>
      <c r="G150" s="79"/>
      <c r="H150" s="78"/>
    </row>
    <row r="151" spans="1:8" s="65" customFormat="1" ht="15.75">
      <c r="A151" s="105" t="s">
        <v>148</v>
      </c>
      <c r="B151" s="105"/>
      <c r="C151" s="105"/>
      <c r="D151" s="105"/>
      <c r="E151" s="105"/>
      <c r="F151" s="105"/>
      <c r="G151" s="105"/>
      <c r="H151" s="81" t="e">
        <f>#REF!</f>
        <v>#REF!</v>
      </c>
    </row>
    <row r="152" spans="1:8" s="65" customFormat="1" ht="12.75">
      <c r="A152" s="79"/>
      <c r="B152" s="79"/>
      <c r="C152" s="79"/>
      <c r="D152" s="79"/>
      <c r="E152" s="79"/>
      <c r="F152" s="79"/>
      <c r="G152" s="79"/>
      <c r="H152" s="82"/>
    </row>
    <row r="153" spans="1:8" s="65" customFormat="1" ht="15.75">
      <c r="A153" s="80" t="s">
        <v>111</v>
      </c>
      <c r="B153" s="80"/>
      <c r="C153" s="80"/>
      <c r="D153" s="80"/>
      <c r="E153" s="80"/>
      <c r="F153" s="80"/>
      <c r="G153" s="80"/>
      <c r="H153" s="82" t="e">
        <f>M64</f>
        <v>#REF!</v>
      </c>
    </row>
    <row r="154" spans="1:8" s="65" customFormat="1" ht="12.75">
      <c r="A154" s="79"/>
      <c r="B154" s="79"/>
      <c r="C154" s="79"/>
      <c r="D154" s="79"/>
      <c r="E154" s="79"/>
      <c r="F154" s="79"/>
      <c r="G154" s="79"/>
      <c r="H154" s="82"/>
    </row>
    <row r="155" spans="1:8" s="65" customFormat="1" ht="15.75">
      <c r="A155" s="105" t="s">
        <v>149</v>
      </c>
      <c r="B155" s="105"/>
      <c r="C155" s="105"/>
      <c r="D155" s="105"/>
      <c r="E155" s="80"/>
      <c r="F155" s="80"/>
      <c r="G155" s="80"/>
      <c r="H155" s="81" t="e">
        <f>M91</f>
        <v>#REF!</v>
      </c>
    </row>
    <row r="156" spans="1:8" s="65" customFormat="1" ht="12.75">
      <c r="A156" s="79"/>
      <c r="B156" s="79"/>
      <c r="C156" s="79"/>
      <c r="D156" s="79"/>
      <c r="E156" s="79"/>
      <c r="F156" s="79"/>
      <c r="G156" s="79"/>
      <c r="H156" s="82"/>
    </row>
    <row r="157" spans="1:8" s="65" customFormat="1" ht="15.75">
      <c r="A157" s="83" t="s">
        <v>127</v>
      </c>
      <c r="B157" s="83"/>
      <c r="C157" s="83"/>
      <c r="D157" s="83"/>
      <c r="E157" s="83"/>
      <c r="F157" s="83"/>
      <c r="G157" s="83"/>
      <c r="H157" s="81" t="e">
        <f>M101</f>
        <v>#REF!</v>
      </c>
    </row>
    <row r="158" spans="1:8" s="65" customFormat="1" ht="12.75">
      <c r="A158" s="79"/>
      <c r="B158" s="79"/>
      <c r="C158" s="79"/>
      <c r="D158" s="79"/>
      <c r="E158" s="79"/>
      <c r="F158" s="79"/>
      <c r="G158" s="79"/>
      <c r="H158" s="82"/>
    </row>
    <row r="159" spans="1:8" s="65" customFormat="1" ht="15.75">
      <c r="A159" s="80" t="s">
        <v>150</v>
      </c>
      <c r="B159" s="80"/>
      <c r="C159" s="80"/>
      <c r="D159" s="80"/>
      <c r="E159" s="80"/>
      <c r="F159" s="84"/>
      <c r="G159" s="84"/>
      <c r="H159" s="81" t="e">
        <f>L117</f>
        <v>#REF!</v>
      </c>
    </row>
    <row r="160" s="65" customFormat="1" ht="12.75"/>
    <row r="161" s="65" customFormat="1" ht="12.75"/>
    <row r="162" s="65" customFormat="1" ht="12.75">
      <c r="H162" s="65" t="s">
        <v>151</v>
      </c>
    </row>
    <row r="163" s="65" customFormat="1" ht="12.75">
      <c r="H163" s="65" t="s">
        <v>146</v>
      </c>
    </row>
    <row r="164" s="65" customFormat="1" ht="12.75">
      <c r="H164" s="65" t="s">
        <v>152</v>
      </c>
    </row>
    <row r="165" s="65" customFormat="1" ht="12.75"/>
    <row r="166" s="65" customFormat="1" ht="12.75"/>
    <row r="167" s="65" customFormat="1" ht="12.75">
      <c r="F167" s="65" t="s">
        <v>153</v>
      </c>
    </row>
    <row r="168" s="65" customFormat="1" ht="12.75">
      <c r="D168" s="65" t="s">
        <v>154</v>
      </c>
    </row>
    <row r="169" s="65" customFormat="1" ht="12.75">
      <c r="D169" s="65" t="s">
        <v>155</v>
      </c>
    </row>
    <row r="170" spans="6:13" s="65" customFormat="1" ht="12.75">
      <c r="F170" s="65" t="s">
        <v>156</v>
      </c>
      <c r="M170" s="65" t="s">
        <v>157</v>
      </c>
    </row>
    <row r="171" s="65" customFormat="1" ht="12.75">
      <c r="M171" s="65" t="s">
        <v>158</v>
      </c>
    </row>
    <row r="172" spans="1:13" s="65" customFormat="1" ht="12.75">
      <c r="A172" s="65" t="s">
        <v>159</v>
      </c>
      <c r="B172" s="65" t="s">
        <v>160</v>
      </c>
      <c r="D172" s="65" t="s">
        <v>161</v>
      </c>
      <c r="F172" s="65" t="s">
        <v>162</v>
      </c>
      <c r="G172" s="65" t="s">
        <v>163</v>
      </c>
      <c r="H172" s="65" t="s">
        <v>164</v>
      </c>
      <c r="J172" s="65" t="s">
        <v>165</v>
      </c>
      <c r="M172" s="73" t="s">
        <v>166</v>
      </c>
    </row>
    <row r="173" spans="1:14" s="65" customFormat="1" ht="12.75">
      <c r="A173" s="65" t="s">
        <v>167</v>
      </c>
      <c r="B173" s="65" t="s">
        <v>168</v>
      </c>
      <c r="D173" s="65" t="s">
        <v>169</v>
      </c>
      <c r="F173" s="65" t="s">
        <v>170</v>
      </c>
      <c r="G173" s="65" t="s">
        <v>171</v>
      </c>
      <c r="H173" s="65" t="s">
        <v>172</v>
      </c>
      <c r="J173" s="65" t="s">
        <v>173</v>
      </c>
      <c r="M173" s="65" t="s">
        <v>174</v>
      </c>
      <c r="N173" s="65">
        <v>6101.1</v>
      </c>
    </row>
    <row r="174" spans="8:9" s="65" customFormat="1" ht="12.75">
      <c r="H174" s="65" t="s">
        <v>175</v>
      </c>
      <c r="I174" s="65" t="s">
        <v>176</v>
      </c>
    </row>
    <row r="175" spans="8:13" s="65" customFormat="1" ht="12.75">
      <c r="H175" s="65" t="s">
        <v>170</v>
      </c>
      <c r="I175" s="65" t="s">
        <v>177</v>
      </c>
      <c r="M175" s="65" t="s">
        <v>178</v>
      </c>
    </row>
    <row r="176" spans="9:13" s="65" customFormat="1" ht="12.75">
      <c r="I176" s="65" t="s">
        <v>179</v>
      </c>
      <c r="M176" s="65" t="s">
        <v>158</v>
      </c>
    </row>
    <row r="177" s="65" customFormat="1" ht="12.75">
      <c r="M177" s="73" t="s">
        <v>166</v>
      </c>
    </row>
    <row r="178" spans="1:14" s="65" customFormat="1" ht="12.75">
      <c r="A178" s="65" t="s">
        <v>180</v>
      </c>
      <c r="B178" s="65" t="s">
        <v>181</v>
      </c>
      <c r="D178" s="65" t="s">
        <v>182</v>
      </c>
      <c r="M178" s="65" t="s">
        <v>174</v>
      </c>
      <c r="N178" s="65">
        <v>1452.9</v>
      </c>
    </row>
    <row r="179" spans="2:4" s="65" customFormat="1" ht="12.75">
      <c r="B179" s="65" t="s">
        <v>183</v>
      </c>
      <c r="D179" s="65" t="s">
        <v>184</v>
      </c>
    </row>
    <row r="180" spans="2:13" s="65" customFormat="1" ht="12.75">
      <c r="B180" s="65" t="s">
        <v>185</v>
      </c>
      <c r="D180" s="65" t="s">
        <v>186</v>
      </c>
      <c r="M180" s="65" t="s">
        <v>187</v>
      </c>
    </row>
    <row r="181" spans="2:13" s="65" customFormat="1" ht="12.75">
      <c r="B181" s="65" t="s">
        <v>188</v>
      </c>
      <c r="D181" s="65" t="s">
        <v>189</v>
      </c>
      <c r="M181" s="65" t="s">
        <v>158</v>
      </c>
    </row>
    <row r="182" spans="2:13" s="65" customFormat="1" ht="12.75">
      <c r="B182" s="65" t="s">
        <v>190</v>
      </c>
      <c r="M182" s="73" t="s">
        <v>166</v>
      </c>
    </row>
    <row r="183" spans="4:14" s="65" customFormat="1" ht="12.75">
      <c r="D183" s="65" t="s">
        <v>191</v>
      </c>
      <c r="M183" s="65" t="s">
        <v>174</v>
      </c>
      <c r="N183" s="65">
        <v>1162.3</v>
      </c>
    </row>
    <row r="184" spans="4:6" s="65" customFormat="1" ht="12.75">
      <c r="D184" s="65" t="s">
        <v>192</v>
      </c>
      <c r="F184" s="65" t="s">
        <v>193</v>
      </c>
    </row>
    <row r="185" spans="4:13" s="65" customFormat="1" ht="12.75">
      <c r="D185" s="65" t="s">
        <v>158</v>
      </c>
      <c r="F185" s="65" t="s">
        <v>194</v>
      </c>
      <c r="H185" s="65">
        <v>0.0687</v>
      </c>
      <c r="I185" s="65">
        <v>0</v>
      </c>
      <c r="K185" s="65">
        <f>N176/1000*H185</f>
        <v>0</v>
      </c>
      <c r="M185" s="65" t="s">
        <v>195</v>
      </c>
    </row>
    <row r="186" spans="4:13" s="65" customFormat="1" ht="12.75">
      <c r="D186" s="65" t="s">
        <v>196</v>
      </c>
      <c r="F186" s="65" t="s">
        <v>197</v>
      </c>
      <c r="H186" s="65">
        <v>0.0763</v>
      </c>
      <c r="I186" s="65">
        <v>0</v>
      </c>
      <c r="K186" s="65">
        <f>N177/1000*H186</f>
        <v>0</v>
      </c>
      <c r="M186" s="65" t="s">
        <v>158</v>
      </c>
    </row>
    <row r="187" spans="4:13" s="65" customFormat="1" ht="12.75">
      <c r="D187" s="65" t="s">
        <v>198</v>
      </c>
      <c r="F187" s="65" t="s">
        <v>199</v>
      </c>
      <c r="H187" s="65">
        <v>0.0839</v>
      </c>
      <c r="I187" s="65">
        <v>0</v>
      </c>
      <c r="K187" s="69">
        <f>N178/1000*H187</f>
        <v>0.12189831000000001</v>
      </c>
      <c r="M187" s="73" t="s">
        <v>166</v>
      </c>
    </row>
    <row r="188" spans="6:13" s="65" customFormat="1" ht="12.75">
      <c r="F188" s="65" t="s">
        <v>200</v>
      </c>
      <c r="M188" s="65" t="s">
        <v>174</v>
      </c>
    </row>
    <row r="189" s="65" customFormat="1" ht="12.75">
      <c r="F189" s="65" t="s">
        <v>190</v>
      </c>
    </row>
    <row r="190" spans="5:9" s="65" customFormat="1" ht="12.75">
      <c r="E190" s="65" t="s">
        <v>201</v>
      </c>
      <c r="I190" s="65">
        <v>0</v>
      </c>
    </row>
    <row r="191" spans="2:4" s="65" customFormat="1" ht="12.75">
      <c r="B191" s="65" t="s">
        <v>202</v>
      </c>
      <c r="D191" s="65" t="s">
        <v>203</v>
      </c>
    </row>
    <row r="192" s="65" customFormat="1" ht="12.75">
      <c r="D192" s="65" t="s">
        <v>204</v>
      </c>
    </row>
    <row r="193" s="65" customFormat="1" ht="12.75">
      <c r="D193" s="65" t="s">
        <v>205</v>
      </c>
    </row>
    <row r="194" s="65" customFormat="1" ht="12.75">
      <c r="D194" s="65" t="s">
        <v>191</v>
      </c>
    </row>
    <row r="195" spans="4:11" s="65" customFormat="1" ht="12.75">
      <c r="D195" s="65" t="s">
        <v>158</v>
      </c>
      <c r="H195" s="65">
        <v>0.00338</v>
      </c>
      <c r="K195" s="69">
        <f>N199/1000*H195</f>
        <v>0</v>
      </c>
    </row>
    <row r="196" spans="4:11" s="65" customFormat="1" ht="12.75">
      <c r="D196" s="65" t="s">
        <v>196</v>
      </c>
      <c r="H196" s="65">
        <v>0.00376</v>
      </c>
      <c r="K196" s="69">
        <f>N200/1000*H196</f>
        <v>0</v>
      </c>
    </row>
    <row r="197" spans="4:11" s="65" customFormat="1" ht="12.75">
      <c r="D197" s="65" t="s">
        <v>198</v>
      </c>
      <c r="H197" s="65">
        <v>0.00414</v>
      </c>
      <c r="K197" s="69">
        <f>N201/1000*H197</f>
        <v>0.025258554</v>
      </c>
    </row>
    <row r="198" s="65" customFormat="1" ht="12.75">
      <c r="M198" s="65" t="s">
        <v>206</v>
      </c>
    </row>
    <row r="199" spans="1:13" s="65" customFormat="1" ht="12.75">
      <c r="A199" s="65" t="s">
        <v>207</v>
      </c>
      <c r="B199" s="65" t="s">
        <v>208</v>
      </c>
      <c r="D199" s="65" t="s">
        <v>203</v>
      </c>
      <c r="M199" s="65" t="s">
        <v>158</v>
      </c>
    </row>
    <row r="200" spans="4:13" s="65" customFormat="1" ht="12.75">
      <c r="D200" s="65" t="s">
        <v>209</v>
      </c>
      <c r="M200" s="73" t="s">
        <v>166</v>
      </c>
    </row>
    <row r="201" spans="4:14" s="65" customFormat="1" ht="12.75">
      <c r="D201" s="65" t="s">
        <v>191</v>
      </c>
      <c r="M201" s="65" t="s">
        <v>174</v>
      </c>
      <c r="N201" s="65">
        <f>N173</f>
        <v>6101.1</v>
      </c>
    </row>
    <row r="202" spans="4:11" s="65" customFormat="1" ht="12.75">
      <c r="D202" s="65" t="s">
        <v>158</v>
      </c>
      <c r="H202" s="65">
        <v>0.02043</v>
      </c>
      <c r="I202" s="65">
        <v>0</v>
      </c>
      <c r="K202" s="65">
        <f>N186/1000*H202</f>
        <v>0</v>
      </c>
    </row>
    <row r="203" spans="4:13" s="65" customFormat="1" ht="12.75">
      <c r="D203" s="65" t="s">
        <v>196</v>
      </c>
      <c r="H203" s="65">
        <v>0.0227</v>
      </c>
      <c r="I203" s="65">
        <v>0</v>
      </c>
      <c r="K203" s="65">
        <f>N187/1000*H203</f>
        <v>0</v>
      </c>
      <c r="M203" s="65" t="s">
        <v>210</v>
      </c>
    </row>
    <row r="204" spans="4:13" s="65" customFormat="1" ht="12.75">
      <c r="D204" s="65" t="s">
        <v>198</v>
      </c>
      <c r="H204" s="65">
        <v>0.02497</v>
      </c>
      <c r="I204" s="65">
        <v>0</v>
      </c>
      <c r="K204" s="65">
        <f>N188/1000*H204</f>
        <v>0</v>
      </c>
      <c r="M204" s="65" t="s">
        <v>158</v>
      </c>
    </row>
    <row r="205" spans="4:13" s="65" customFormat="1" ht="12.75">
      <c r="D205" s="65" t="s">
        <v>211</v>
      </c>
      <c r="M205" s="73" t="s">
        <v>166</v>
      </c>
    </row>
    <row r="206" spans="4:14" s="65" customFormat="1" ht="12.75">
      <c r="D206" s="65" t="s">
        <v>191</v>
      </c>
      <c r="M206" s="65" t="s">
        <v>174</v>
      </c>
      <c r="N206" s="65">
        <v>119</v>
      </c>
    </row>
    <row r="207" spans="4:6" s="65" customFormat="1" ht="12.75">
      <c r="D207" s="65" t="s">
        <v>192</v>
      </c>
      <c r="F207" s="65" t="s">
        <v>193</v>
      </c>
    </row>
    <row r="208" spans="4:11" s="65" customFormat="1" ht="12.75">
      <c r="D208" s="65" t="s">
        <v>158</v>
      </c>
      <c r="H208" s="65">
        <v>0.00999</v>
      </c>
      <c r="K208" s="69">
        <f>N171/1000*H208</f>
        <v>0</v>
      </c>
    </row>
    <row r="209" spans="4:11" s="65" customFormat="1" ht="12.75">
      <c r="D209" s="65" t="s">
        <v>196</v>
      </c>
      <c r="H209" s="65">
        <v>0.0111</v>
      </c>
      <c r="K209" s="69">
        <f>N172/1000*H209</f>
        <v>0</v>
      </c>
    </row>
    <row r="210" spans="4:11" s="65" customFormat="1" ht="12.75">
      <c r="D210" s="65" t="s">
        <v>198</v>
      </c>
      <c r="H210" s="65">
        <v>0.01221</v>
      </c>
      <c r="I210" s="65">
        <v>0</v>
      </c>
      <c r="K210" s="69">
        <f>N173/1000*H210</f>
        <v>0.07449443100000001</v>
      </c>
    </row>
    <row r="211" s="65" customFormat="1" ht="12.75">
      <c r="I211" s="65">
        <v>0</v>
      </c>
    </row>
    <row r="212" spans="5:9" s="65" customFormat="1" ht="12.75">
      <c r="E212" s="65" t="s">
        <v>201</v>
      </c>
      <c r="G212" s="65">
        <v>0</v>
      </c>
      <c r="I212" s="65">
        <v>0</v>
      </c>
    </row>
    <row r="213" spans="1:6" s="65" customFormat="1" ht="12.75">
      <c r="A213" s="65" t="s">
        <v>212</v>
      </c>
      <c r="B213" s="65" t="s">
        <v>213</v>
      </c>
      <c r="D213" s="65" t="s">
        <v>203</v>
      </c>
      <c r="F213" s="65" t="s">
        <v>193</v>
      </c>
    </row>
    <row r="214" spans="2:6" s="65" customFormat="1" ht="12.75">
      <c r="B214" s="65" t="s">
        <v>214</v>
      </c>
      <c r="D214" s="65" t="s">
        <v>209</v>
      </c>
      <c r="F214" s="65" t="s">
        <v>215</v>
      </c>
    </row>
    <row r="215" spans="4:6" s="65" customFormat="1" ht="12.75">
      <c r="D215" s="65" t="s">
        <v>191</v>
      </c>
      <c r="F215" s="65" t="s">
        <v>216</v>
      </c>
    </row>
    <row r="216" spans="4:11" s="65" customFormat="1" ht="12.75">
      <c r="D216" s="65" t="s">
        <v>158</v>
      </c>
      <c r="H216" s="65">
        <v>0.018432</v>
      </c>
      <c r="I216" s="65">
        <v>0</v>
      </c>
      <c r="K216" s="65">
        <f>N186/1000*H216</f>
        <v>0</v>
      </c>
    </row>
    <row r="217" spans="4:11" s="65" customFormat="1" ht="12.75">
      <c r="D217" s="65" t="s">
        <v>196</v>
      </c>
      <c r="H217" s="65">
        <v>0.02048</v>
      </c>
      <c r="I217" s="65">
        <v>0</v>
      </c>
      <c r="K217" s="65">
        <f>N187/1000*H217</f>
        <v>0</v>
      </c>
    </row>
    <row r="218" spans="4:11" s="65" customFormat="1" ht="12.75">
      <c r="D218" s="65" t="s">
        <v>198</v>
      </c>
      <c r="K218" s="65">
        <f>N188/1000*H218</f>
        <v>0</v>
      </c>
    </row>
    <row r="219" s="65" customFormat="1" ht="12.75">
      <c r="D219" s="65" t="s">
        <v>211</v>
      </c>
    </row>
    <row r="220" s="65" customFormat="1" ht="12.75">
      <c r="D220" s="65" t="s">
        <v>191</v>
      </c>
    </row>
    <row r="221" s="65" customFormat="1" ht="12.75">
      <c r="D221" s="65" t="s">
        <v>192</v>
      </c>
    </row>
    <row r="222" spans="4:11" s="65" customFormat="1" ht="12.75">
      <c r="D222" s="65" t="s">
        <v>158</v>
      </c>
      <c r="K222" s="69">
        <f>N171/1000*H222</f>
        <v>0</v>
      </c>
    </row>
    <row r="223" spans="4:11" s="65" customFormat="1" ht="12.75">
      <c r="D223" s="65" t="s">
        <v>196</v>
      </c>
      <c r="H223" s="65">
        <v>0.02295</v>
      </c>
      <c r="I223" s="65">
        <v>0</v>
      </c>
      <c r="K223" s="69">
        <f>N172/1000*H223</f>
        <v>0</v>
      </c>
    </row>
    <row r="224" spans="4:11" s="65" customFormat="1" ht="12.75">
      <c r="D224" s="65" t="s">
        <v>198</v>
      </c>
      <c r="H224" s="65">
        <v>0.025245</v>
      </c>
      <c r="I224" s="65">
        <v>0</v>
      </c>
      <c r="K224" s="69">
        <f>N173/1000*H224</f>
        <v>0.1540222695</v>
      </c>
    </row>
    <row r="225" spans="5:11" s="65" customFormat="1" ht="12.75">
      <c r="E225" s="65" t="s">
        <v>201</v>
      </c>
      <c r="G225" s="65">
        <v>0</v>
      </c>
      <c r="I225" s="65">
        <v>0</v>
      </c>
      <c r="K225" s="69"/>
    </row>
    <row r="226" s="65" customFormat="1" ht="12.75">
      <c r="K226" s="69"/>
    </row>
    <row r="227" spans="1:11" s="65" customFormat="1" ht="12.75">
      <c r="A227" s="65" t="s">
        <v>217</v>
      </c>
      <c r="B227" s="65" t="s">
        <v>218</v>
      </c>
      <c r="D227" s="65" t="s">
        <v>203</v>
      </c>
      <c r="K227" s="69"/>
    </row>
    <row r="228" spans="4:11" s="65" customFormat="1" ht="12.75">
      <c r="D228" s="65" t="s">
        <v>209</v>
      </c>
      <c r="K228" s="69"/>
    </row>
    <row r="229" spans="4:11" s="65" customFormat="1" ht="12.75">
      <c r="D229" s="65" t="s">
        <v>191</v>
      </c>
      <c r="K229" s="69"/>
    </row>
    <row r="230" spans="4:11" s="65" customFormat="1" ht="12.75">
      <c r="D230" s="65" t="s">
        <v>158</v>
      </c>
      <c r="H230" s="65">
        <v>0.027585</v>
      </c>
      <c r="I230" s="65">
        <v>0</v>
      </c>
      <c r="K230" s="69">
        <f>N186/1000*H230</f>
        <v>0</v>
      </c>
    </row>
    <row r="231" spans="4:11" s="65" customFormat="1" ht="12.75">
      <c r="D231" s="65" t="s">
        <v>196</v>
      </c>
      <c r="H231" s="65">
        <v>0.3065</v>
      </c>
      <c r="I231" s="65">
        <v>0</v>
      </c>
      <c r="K231" s="69">
        <f>N187/1000*H231</f>
        <v>0</v>
      </c>
    </row>
    <row r="232" spans="4:11" s="65" customFormat="1" ht="12.75">
      <c r="D232" s="65" t="s">
        <v>198</v>
      </c>
      <c r="K232" s="69">
        <f>N188/1000*H232</f>
        <v>0</v>
      </c>
    </row>
    <row r="233" spans="4:11" s="65" customFormat="1" ht="12.75">
      <c r="D233" s="65" t="s">
        <v>211</v>
      </c>
      <c r="K233" s="69"/>
    </row>
    <row r="234" spans="4:11" s="65" customFormat="1" ht="12.75">
      <c r="D234" s="65" t="s">
        <v>191</v>
      </c>
      <c r="K234" s="69"/>
    </row>
    <row r="235" spans="4:11" s="65" customFormat="1" ht="12.75">
      <c r="D235" s="65" t="s">
        <v>192</v>
      </c>
      <c r="K235" s="69"/>
    </row>
    <row r="236" spans="4:11" s="65" customFormat="1" ht="12.75">
      <c r="D236" s="65" t="s">
        <v>158</v>
      </c>
      <c r="K236" s="69">
        <f>N171/1000*H236</f>
        <v>0</v>
      </c>
    </row>
    <row r="237" spans="4:11" s="65" customFormat="1" ht="12.75">
      <c r="D237" s="65" t="s">
        <v>196</v>
      </c>
      <c r="H237" s="65">
        <v>0.00539</v>
      </c>
      <c r="I237" s="65">
        <v>0</v>
      </c>
      <c r="K237" s="69">
        <f>N172/1000*H237</f>
        <v>0</v>
      </c>
    </row>
    <row r="238" spans="4:11" s="65" customFormat="1" ht="12.75">
      <c r="D238" s="65" t="s">
        <v>198</v>
      </c>
      <c r="H238" s="65">
        <v>0.005929</v>
      </c>
      <c r="I238" s="65">
        <v>0</v>
      </c>
      <c r="K238" s="69">
        <f>N173/1000*H238</f>
        <v>0.0361734219</v>
      </c>
    </row>
    <row r="239" spans="5:11" s="65" customFormat="1" ht="12.75">
      <c r="E239" s="65" t="s">
        <v>201</v>
      </c>
      <c r="G239" s="65">
        <v>0</v>
      </c>
      <c r="I239" s="65">
        <v>0</v>
      </c>
      <c r="K239" s="69"/>
    </row>
    <row r="240" s="65" customFormat="1" ht="12.75">
      <c r="K240" s="69"/>
    </row>
    <row r="241" spans="1:11" s="65" customFormat="1" ht="12.75">
      <c r="A241" s="65" t="s">
        <v>219</v>
      </c>
      <c r="B241" s="65" t="s">
        <v>220</v>
      </c>
      <c r="D241" s="65" t="s">
        <v>203</v>
      </c>
      <c r="K241" s="69"/>
    </row>
    <row r="242" spans="2:11" s="65" customFormat="1" ht="12.75">
      <c r="B242" s="65" t="s">
        <v>214</v>
      </c>
      <c r="D242" s="65" t="s">
        <v>209</v>
      </c>
      <c r="K242" s="69"/>
    </row>
    <row r="243" spans="4:11" s="65" customFormat="1" ht="12.75">
      <c r="D243" s="65" t="s">
        <v>191</v>
      </c>
      <c r="K243" s="69"/>
    </row>
    <row r="244" spans="4:11" s="65" customFormat="1" ht="12.75">
      <c r="D244" s="65" t="s">
        <v>158</v>
      </c>
      <c r="H244" s="65">
        <v>0.022437</v>
      </c>
      <c r="I244" s="65">
        <v>0</v>
      </c>
      <c r="K244" s="69">
        <f>N186/1000*H244</f>
        <v>0</v>
      </c>
    </row>
    <row r="245" spans="4:11" s="65" customFormat="1" ht="12.75">
      <c r="D245" s="65" t="s">
        <v>196</v>
      </c>
      <c r="H245" s="65">
        <v>0.02493</v>
      </c>
      <c r="I245" s="65">
        <v>0</v>
      </c>
      <c r="K245" s="69">
        <f>N187/1000*H245</f>
        <v>0</v>
      </c>
    </row>
    <row r="246" spans="4:11" s="65" customFormat="1" ht="12.75">
      <c r="D246" s="65" t="s">
        <v>198</v>
      </c>
      <c r="K246" s="65">
        <f>N188/1000*H246</f>
        <v>0</v>
      </c>
    </row>
    <row r="247" s="65" customFormat="1" ht="12.75">
      <c r="D247" s="65" t="s">
        <v>211</v>
      </c>
    </row>
    <row r="248" s="65" customFormat="1" ht="12.75">
      <c r="D248" s="65" t="s">
        <v>191</v>
      </c>
    </row>
    <row r="249" s="65" customFormat="1" ht="12.75">
      <c r="D249" s="65" t="s">
        <v>192</v>
      </c>
    </row>
    <row r="250" spans="4:11" s="65" customFormat="1" ht="12.75">
      <c r="D250" s="65" t="s">
        <v>158</v>
      </c>
      <c r="K250" s="69">
        <f>N171/1000*H250</f>
        <v>0</v>
      </c>
    </row>
    <row r="251" spans="4:11" s="65" customFormat="1" ht="12.75">
      <c r="D251" s="65" t="s">
        <v>196</v>
      </c>
      <c r="H251" s="65">
        <v>0.00888</v>
      </c>
      <c r="I251" s="65">
        <v>0</v>
      </c>
      <c r="K251" s="69">
        <f>N172/1000*H251</f>
        <v>0</v>
      </c>
    </row>
    <row r="252" spans="4:11" s="65" customFormat="1" ht="12.75">
      <c r="D252" s="65" t="s">
        <v>198</v>
      </c>
      <c r="H252" s="65">
        <v>0.009768</v>
      </c>
      <c r="I252" s="65">
        <v>0</v>
      </c>
      <c r="K252" s="69">
        <f>N173/1000*H252</f>
        <v>0.05959554480000001</v>
      </c>
    </row>
    <row r="253" spans="5:11" s="65" customFormat="1" ht="12.75">
      <c r="E253" s="65" t="s">
        <v>201</v>
      </c>
      <c r="G253" s="65">
        <v>0</v>
      </c>
      <c r="I253" s="65">
        <v>0</v>
      </c>
      <c r="K253" s="69"/>
    </row>
    <row r="254" s="65" customFormat="1" ht="12.75">
      <c r="K254" s="69"/>
    </row>
    <row r="255" spans="2:4" s="65" customFormat="1" ht="12.75">
      <c r="B255" s="65" t="s">
        <v>221</v>
      </c>
      <c r="D255" s="65" t="s">
        <v>203</v>
      </c>
    </row>
    <row r="256" s="65" customFormat="1" ht="12.75">
      <c r="D256" s="65" t="s">
        <v>204</v>
      </c>
    </row>
    <row r="257" s="65" customFormat="1" ht="12.75">
      <c r="D257" s="65" t="s">
        <v>205</v>
      </c>
    </row>
    <row r="258" s="65" customFormat="1" ht="12.75">
      <c r="D258" s="65" t="s">
        <v>191</v>
      </c>
    </row>
    <row r="259" spans="4:11" s="65" customFormat="1" ht="12.75">
      <c r="D259" s="65" t="s">
        <v>158</v>
      </c>
      <c r="H259" s="65">
        <v>0.0243</v>
      </c>
      <c r="K259" s="69">
        <f>N199/1000*H259</f>
        <v>0</v>
      </c>
    </row>
    <row r="260" spans="4:11" s="65" customFormat="1" ht="12.75">
      <c r="D260" s="65" t="s">
        <v>196</v>
      </c>
      <c r="H260" s="65">
        <v>0.027</v>
      </c>
      <c r="K260" s="69">
        <f>N200/1000*H260</f>
        <v>0</v>
      </c>
    </row>
    <row r="261" spans="4:11" s="65" customFormat="1" ht="12.75">
      <c r="D261" s="65" t="s">
        <v>198</v>
      </c>
      <c r="H261" s="65">
        <v>0.0297</v>
      </c>
      <c r="K261" s="69">
        <f>N201/1000*H261</f>
        <v>0.18120267</v>
      </c>
    </row>
    <row r="262" spans="1:11" s="65" customFormat="1" ht="12.75">
      <c r="A262" s="65" t="s">
        <v>222</v>
      </c>
      <c r="B262" s="65" t="s">
        <v>223</v>
      </c>
      <c r="D262" s="65" t="s">
        <v>203</v>
      </c>
      <c r="K262" s="69"/>
    </row>
    <row r="263" spans="4:11" s="65" customFormat="1" ht="12.75">
      <c r="D263" s="65" t="s">
        <v>209</v>
      </c>
      <c r="K263" s="69"/>
    </row>
    <row r="264" spans="4:11" s="65" customFormat="1" ht="12.75">
      <c r="D264" s="65" t="s">
        <v>191</v>
      </c>
      <c r="K264" s="69"/>
    </row>
    <row r="265" spans="4:11" s="65" customFormat="1" ht="12.75">
      <c r="D265" s="65" t="s">
        <v>158</v>
      </c>
      <c r="H265" s="65">
        <v>0.01773</v>
      </c>
      <c r="I265" s="65">
        <v>0</v>
      </c>
      <c r="K265" s="69">
        <f>N186/1000*H265</f>
        <v>0</v>
      </c>
    </row>
    <row r="266" spans="4:11" s="65" customFormat="1" ht="12.75">
      <c r="D266" s="65" t="s">
        <v>196</v>
      </c>
      <c r="H266" s="65">
        <v>0.0197</v>
      </c>
      <c r="I266" s="65">
        <v>0</v>
      </c>
      <c r="K266" s="69">
        <f>N187/1000*H266</f>
        <v>0</v>
      </c>
    </row>
    <row r="267" spans="4:11" s="65" customFormat="1" ht="12.75">
      <c r="D267" s="65" t="s">
        <v>198</v>
      </c>
      <c r="K267" s="69">
        <f>N188/1000*H267</f>
        <v>0</v>
      </c>
    </row>
    <row r="268" spans="4:11" s="65" customFormat="1" ht="12.75">
      <c r="D268" s="65" t="s">
        <v>211</v>
      </c>
      <c r="K268" s="69"/>
    </row>
    <row r="269" spans="4:11" s="65" customFormat="1" ht="12.75">
      <c r="D269" s="65" t="s">
        <v>191</v>
      </c>
      <c r="K269" s="69"/>
    </row>
    <row r="270" spans="4:11" s="65" customFormat="1" ht="12.75">
      <c r="D270" s="65" t="s">
        <v>192</v>
      </c>
      <c r="K270" s="69"/>
    </row>
    <row r="271" spans="4:11" s="65" customFormat="1" ht="12.75">
      <c r="D271" s="65" t="s">
        <v>158</v>
      </c>
      <c r="K271" s="69">
        <f>N171/1000*H271</f>
        <v>0</v>
      </c>
    </row>
    <row r="272" spans="4:11" s="65" customFormat="1" ht="12.75">
      <c r="D272" s="65" t="s">
        <v>196</v>
      </c>
      <c r="H272" s="65">
        <v>0.0018</v>
      </c>
      <c r="I272" s="65">
        <v>0</v>
      </c>
      <c r="K272" s="69">
        <f>N172/1000*H272</f>
        <v>0</v>
      </c>
    </row>
    <row r="273" spans="4:11" s="65" customFormat="1" ht="12.75">
      <c r="D273" s="65" t="s">
        <v>198</v>
      </c>
      <c r="H273" s="65">
        <v>0.00198</v>
      </c>
      <c r="I273" s="65">
        <v>0</v>
      </c>
      <c r="K273" s="69">
        <f>N173/1000*H273</f>
        <v>0.012080178</v>
      </c>
    </row>
    <row r="274" spans="5:11" s="65" customFormat="1" ht="12.75">
      <c r="E274" s="65" t="s">
        <v>201</v>
      </c>
      <c r="G274" s="65">
        <v>0</v>
      </c>
      <c r="I274" s="65">
        <v>0</v>
      </c>
      <c r="K274" s="69"/>
    </row>
    <row r="275" s="65" customFormat="1" ht="12.75">
      <c r="K275" s="69"/>
    </row>
    <row r="276" spans="2:7" s="65" customFormat="1" ht="12.75">
      <c r="B276" s="65" t="s">
        <v>224</v>
      </c>
      <c r="D276" s="65" t="s">
        <v>203</v>
      </c>
      <c r="G276" s="65" t="s">
        <v>225</v>
      </c>
    </row>
    <row r="277" spans="4:7" s="65" customFormat="1" ht="12.75">
      <c r="D277" s="65" t="s">
        <v>204</v>
      </c>
      <c r="G277" s="65" t="s">
        <v>226</v>
      </c>
    </row>
    <row r="278" spans="4:7" s="65" customFormat="1" ht="12.75">
      <c r="D278" s="65" t="s">
        <v>205</v>
      </c>
      <c r="G278" s="65" t="s">
        <v>227</v>
      </c>
    </row>
    <row r="279" s="65" customFormat="1" ht="12.75">
      <c r="D279" s="65" t="s">
        <v>191</v>
      </c>
    </row>
    <row r="280" spans="4:11" s="65" customFormat="1" ht="12.75">
      <c r="D280" s="65" t="s">
        <v>158</v>
      </c>
      <c r="H280" s="65">
        <v>0.02367</v>
      </c>
      <c r="K280" s="69">
        <f>N181/1000*H280</f>
        <v>0</v>
      </c>
    </row>
    <row r="281" spans="4:11" s="65" customFormat="1" ht="12.75">
      <c r="D281" s="65" t="s">
        <v>196</v>
      </c>
      <c r="H281" s="65">
        <v>0.0263</v>
      </c>
      <c r="K281" s="69">
        <f>N182/1000*H281</f>
        <v>0</v>
      </c>
    </row>
    <row r="282" spans="4:11" s="65" customFormat="1" ht="12.75">
      <c r="D282" s="65" t="s">
        <v>198</v>
      </c>
      <c r="H282" s="65">
        <v>0.02893</v>
      </c>
      <c r="K282" s="69">
        <f>N183/1000*H282</f>
        <v>0.033625339</v>
      </c>
    </row>
    <row r="283" s="65" customFormat="1" ht="12.75">
      <c r="K283" s="69"/>
    </row>
    <row r="284" spans="1:11" s="65" customFormat="1" ht="12.75">
      <c r="A284" s="65" t="s">
        <v>228</v>
      </c>
      <c r="B284" s="65" t="s">
        <v>229</v>
      </c>
      <c r="D284" s="65" t="s">
        <v>203</v>
      </c>
      <c r="K284" s="69"/>
    </row>
    <row r="285" spans="2:11" s="65" customFormat="1" ht="12.75">
      <c r="B285" s="65" t="s">
        <v>230</v>
      </c>
      <c r="D285" s="65" t="s">
        <v>209</v>
      </c>
      <c r="K285" s="69"/>
    </row>
    <row r="286" spans="4:11" s="65" customFormat="1" ht="12.75">
      <c r="D286" s="65" t="s">
        <v>191</v>
      </c>
      <c r="K286" s="69"/>
    </row>
    <row r="287" spans="4:11" s="65" customFormat="1" ht="12.75">
      <c r="D287" s="65" t="s">
        <v>158</v>
      </c>
      <c r="H287" s="65">
        <v>0.014679</v>
      </c>
      <c r="I287" s="65">
        <v>0</v>
      </c>
      <c r="K287" s="69">
        <f>N186/1000*H287</f>
        <v>0</v>
      </c>
    </row>
    <row r="288" spans="4:11" s="65" customFormat="1" ht="12.75">
      <c r="D288" s="65" t="s">
        <v>196</v>
      </c>
      <c r="H288" s="65">
        <v>0.01631</v>
      </c>
      <c r="I288" s="65">
        <v>0</v>
      </c>
      <c r="K288" s="69">
        <f>N187/1000*H288</f>
        <v>0</v>
      </c>
    </row>
    <row r="289" spans="4:11" s="65" customFormat="1" ht="12.75">
      <c r="D289" s="65" t="s">
        <v>198</v>
      </c>
      <c r="K289" s="69">
        <f>N188/1000*H289</f>
        <v>0</v>
      </c>
    </row>
    <row r="290" spans="4:11" s="65" customFormat="1" ht="12.75">
      <c r="D290" s="65" t="s">
        <v>211</v>
      </c>
      <c r="K290" s="69"/>
    </row>
    <row r="291" spans="4:11" s="65" customFormat="1" ht="12.75">
      <c r="D291" s="65" t="s">
        <v>191</v>
      </c>
      <c r="K291" s="69"/>
    </row>
    <row r="292" spans="4:11" s="65" customFormat="1" ht="12.75">
      <c r="D292" s="65" t="s">
        <v>192</v>
      </c>
      <c r="K292" s="69"/>
    </row>
    <row r="293" spans="4:11" s="65" customFormat="1" ht="12.75">
      <c r="D293" s="65" t="s">
        <v>158</v>
      </c>
      <c r="K293" s="69">
        <f>N171/1000*H293</f>
        <v>0</v>
      </c>
    </row>
    <row r="294" spans="4:11" s="65" customFormat="1" ht="12.75">
      <c r="D294" s="65" t="s">
        <v>196</v>
      </c>
      <c r="H294" s="65">
        <v>0.01631</v>
      </c>
      <c r="I294" s="65">
        <v>0</v>
      </c>
      <c r="K294" s="69">
        <f>N172/1000*H294</f>
        <v>0</v>
      </c>
    </row>
    <row r="295" spans="4:11" s="65" customFormat="1" ht="12.75">
      <c r="D295" s="65" t="s">
        <v>198</v>
      </c>
      <c r="H295" s="65">
        <v>0.017941</v>
      </c>
      <c r="I295" s="65">
        <v>0</v>
      </c>
      <c r="K295" s="69">
        <f>N173/1000*H295</f>
        <v>0.1094598351</v>
      </c>
    </row>
    <row r="296" spans="5:11" s="65" customFormat="1" ht="12.75">
      <c r="E296" s="65" t="s">
        <v>201</v>
      </c>
      <c r="G296" s="65">
        <v>0</v>
      </c>
      <c r="I296" s="65">
        <v>0</v>
      </c>
      <c r="K296" s="69"/>
    </row>
    <row r="297" s="65" customFormat="1" ht="12.75">
      <c r="K297" s="69"/>
    </row>
    <row r="298" spans="1:11" s="65" customFormat="1" ht="12.75">
      <c r="A298" s="65" t="s">
        <v>231</v>
      </c>
      <c r="B298" s="65" t="s">
        <v>232</v>
      </c>
      <c r="D298" s="65" t="s">
        <v>203</v>
      </c>
      <c r="K298" s="69"/>
    </row>
    <row r="299" spans="2:11" s="65" customFormat="1" ht="12.75">
      <c r="B299" s="65" t="s">
        <v>233</v>
      </c>
      <c r="D299" s="65" t="s">
        <v>211</v>
      </c>
      <c r="K299" s="69"/>
    </row>
    <row r="300" spans="4:11" s="65" customFormat="1" ht="12.75">
      <c r="D300" s="65" t="s">
        <v>209</v>
      </c>
      <c r="K300" s="69"/>
    </row>
    <row r="301" spans="4:11" s="65" customFormat="1" ht="12.75">
      <c r="D301" s="65" t="s">
        <v>234</v>
      </c>
      <c r="K301" s="69"/>
    </row>
    <row r="302" spans="4:11" s="65" customFormat="1" ht="12.75">
      <c r="D302" s="65" t="s">
        <v>235</v>
      </c>
      <c r="F302" s="65" t="s">
        <v>236</v>
      </c>
      <c r="K302" s="69"/>
    </row>
    <row r="303" spans="4:11" s="65" customFormat="1" ht="12.75">
      <c r="D303" s="65" t="s">
        <v>191</v>
      </c>
      <c r="F303" s="65" t="s">
        <v>237</v>
      </c>
      <c r="K303" s="69"/>
    </row>
    <row r="304" spans="4:11" s="65" customFormat="1" ht="12.75">
      <c r="D304" s="65" t="s">
        <v>158</v>
      </c>
      <c r="H304" s="65">
        <v>41000</v>
      </c>
      <c r="I304" s="65">
        <v>0</v>
      </c>
      <c r="K304" s="69">
        <f>N199/H304</f>
        <v>0</v>
      </c>
    </row>
    <row r="305" spans="4:11" s="65" customFormat="1" ht="12.75">
      <c r="D305" s="65" t="s">
        <v>196</v>
      </c>
      <c r="H305" s="65">
        <v>39000</v>
      </c>
      <c r="I305" s="65">
        <v>0</v>
      </c>
      <c r="K305" s="69">
        <f>N200/H305</f>
        <v>0</v>
      </c>
    </row>
    <row r="306" spans="4:11" s="65" customFormat="1" ht="12.75">
      <c r="D306" s="65" t="s">
        <v>198</v>
      </c>
      <c r="H306" s="65">
        <v>37000</v>
      </c>
      <c r="I306" s="65">
        <v>0</v>
      </c>
      <c r="K306" s="69">
        <f>N201/H306</f>
        <v>0.1648945945945946</v>
      </c>
    </row>
    <row r="307" s="65" customFormat="1" ht="12.75">
      <c r="K307" s="69"/>
    </row>
    <row r="308" spans="4:11" s="65" customFormat="1" ht="12.75">
      <c r="D308" s="65" t="s">
        <v>238</v>
      </c>
      <c r="K308" s="69"/>
    </row>
    <row r="309" spans="4:11" s="65" customFormat="1" ht="12.75">
      <c r="D309" s="65" t="s">
        <v>239</v>
      </c>
      <c r="F309" s="65" t="s">
        <v>240</v>
      </c>
      <c r="K309" s="69"/>
    </row>
    <row r="310" spans="4:11" s="65" customFormat="1" ht="12.75">
      <c r="D310" s="65" t="s">
        <v>191</v>
      </c>
      <c r="K310" s="69"/>
    </row>
    <row r="311" spans="4:11" s="65" customFormat="1" ht="12.75">
      <c r="D311" s="65" t="s">
        <v>158</v>
      </c>
      <c r="H311" s="65">
        <v>450</v>
      </c>
      <c r="I311" s="65">
        <v>0</v>
      </c>
      <c r="K311" s="69">
        <f>N204/H311</f>
        <v>0</v>
      </c>
    </row>
    <row r="312" spans="4:11" s="65" customFormat="1" ht="12.75">
      <c r="D312" s="65" t="s">
        <v>196</v>
      </c>
      <c r="H312" s="65">
        <v>375</v>
      </c>
      <c r="I312" s="65">
        <v>0</v>
      </c>
      <c r="K312" s="69">
        <f>N205/H312</f>
        <v>0</v>
      </c>
    </row>
    <row r="313" spans="4:11" s="65" customFormat="1" ht="12.75">
      <c r="D313" s="65" t="s">
        <v>198</v>
      </c>
      <c r="H313" s="65">
        <v>310</v>
      </c>
      <c r="I313" s="65">
        <v>0</v>
      </c>
      <c r="K313" s="69">
        <f>N206/H313</f>
        <v>0.38387096774193546</v>
      </c>
    </row>
    <row r="314" spans="5:11" s="65" customFormat="1" ht="12.75">
      <c r="E314" s="65" t="s">
        <v>201</v>
      </c>
      <c r="G314" s="65">
        <v>0</v>
      </c>
      <c r="I314" s="65">
        <v>0</v>
      </c>
      <c r="K314" s="69"/>
    </row>
    <row r="315" s="65" customFormat="1" ht="12.75">
      <c r="K315" s="69"/>
    </row>
    <row r="316" spans="1:11" s="65" customFormat="1" ht="12.75">
      <c r="A316" s="65" t="s">
        <v>241</v>
      </c>
      <c r="B316" s="65" t="s">
        <v>242</v>
      </c>
      <c r="D316" s="65" t="s">
        <v>243</v>
      </c>
      <c r="K316" s="69"/>
    </row>
    <row r="317" spans="4:11" s="65" customFormat="1" ht="12.75">
      <c r="D317" s="65" t="s">
        <v>244</v>
      </c>
      <c r="F317" s="65" t="s">
        <v>240</v>
      </c>
      <c r="K317" s="69"/>
    </row>
    <row r="318" spans="4:11" s="65" customFormat="1" ht="12.75">
      <c r="D318" s="65" t="s">
        <v>245</v>
      </c>
      <c r="K318" s="69"/>
    </row>
    <row r="319" spans="4:11" s="65" customFormat="1" ht="12.75">
      <c r="D319" s="65" t="s">
        <v>158</v>
      </c>
      <c r="H319" s="65">
        <v>2350</v>
      </c>
      <c r="I319" s="65">
        <v>0</v>
      </c>
      <c r="K319" s="69">
        <f>N204/H319</f>
        <v>0</v>
      </c>
    </row>
    <row r="320" spans="4:11" s="65" customFormat="1" ht="12.75">
      <c r="D320" s="65" t="s">
        <v>196</v>
      </c>
      <c r="H320" s="65">
        <v>2250</v>
      </c>
      <c r="I320" s="65">
        <v>0</v>
      </c>
      <c r="K320" s="69">
        <f>N205/H320</f>
        <v>0</v>
      </c>
    </row>
    <row r="321" spans="4:11" s="65" customFormat="1" ht="12.75">
      <c r="D321" s="65" t="s">
        <v>198</v>
      </c>
      <c r="H321" s="65">
        <v>2200</v>
      </c>
      <c r="I321" s="65">
        <v>0</v>
      </c>
      <c r="K321" s="69">
        <f>N206/H321</f>
        <v>0.05409090909090909</v>
      </c>
    </row>
    <row r="322" spans="5:11" s="65" customFormat="1" ht="12.75">
      <c r="E322" s="65" t="s">
        <v>201</v>
      </c>
      <c r="G322" s="65">
        <v>0</v>
      </c>
      <c r="I322" s="65">
        <v>0</v>
      </c>
      <c r="K322" s="69"/>
    </row>
    <row r="323" s="65" customFormat="1" ht="12.75">
      <c r="K323" s="69">
        <f>K185+K186+K187+K195+K196+K197+K202+K203+K204+K208+K209+K210+K216+K217+K218+K222+K223+K224+K230+K231+K232+K236+K237+K238+K244+K245+K246+K250+K251+K252+K259+K260+K261+K265+K266+K267+K271+K272+K273+K280+K281+K282+K287+K288+K289+K293+K294+K295+K304+K305+K306+K311+K312+K313+K319+K320+K321</f>
        <v>1.4106670247274393</v>
      </c>
    </row>
    <row r="324" spans="1:11" s="65" customFormat="1" ht="12.75">
      <c r="A324" s="65" t="s">
        <v>246</v>
      </c>
      <c r="B324" s="65" t="s">
        <v>247</v>
      </c>
      <c r="F324" s="65" t="s">
        <v>248</v>
      </c>
      <c r="I324" s="65">
        <v>1</v>
      </c>
      <c r="K324" s="69">
        <f>K323*1.12</f>
        <v>1.5799470676947323</v>
      </c>
    </row>
    <row r="325" s="65" customFormat="1" ht="12.75">
      <c r="B325" s="65" t="s">
        <v>249</v>
      </c>
    </row>
    <row r="326" s="65" customFormat="1" ht="12.75">
      <c r="B326" s="65" t="s">
        <v>250</v>
      </c>
    </row>
    <row r="327" s="65" customFormat="1" ht="12.75"/>
    <row r="328" spans="1:9" s="65" customFormat="1" ht="12.75">
      <c r="A328" s="65" t="s">
        <v>251</v>
      </c>
      <c r="B328" s="65" t="s">
        <v>252</v>
      </c>
      <c r="I328" s="65">
        <v>2</v>
      </c>
    </row>
    <row r="329" spans="1:9" s="65" customFormat="1" ht="12.75">
      <c r="A329" s="65" t="s">
        <v>253</v>
      </c>
      <c r="B329" s="65" t="s">
        <v>254</v>
      </c>
      <c r="I329" s="65">
        <v>1</v>
      </c>
    </row>
    <row r="330" spans="1:9" s="65" customFormat="1" ht="12.75">
      <c r="A330" s="65" t="s">
        <v>255</v>
      </c>
      <c r="B330" s="65" t="s">
        <v>256</v>
      </c>
      <c r="I330" s="65">
        <v>1</v>
      </c>
    </row>
    <row r="331" spans="2:9" s="65" customFormat="1" ht="12.75">
      <c r="B331" s="65" t="s">
        <v>257</v>
      </c>
      <c r="I331" s="65">
        <v>5</v>
      </c>
    </row>
    <row r="332" s="65" customFormat="1" ht="12.75">
      <c r="F332" s="65" t="s">
        <v>258</v>
      </c>
    </row>
    <row r="333" spans="1:9" s="65" customFormat="1" ht="12.75">
      <c r="A333" s="65" t="s">
        <v>259</v>
      </c>
      <c r="B333" s="65" t="s">
        <v>260</v>
      </c>
      <c r="E333" s="65" t="s">
        <v>261</v>
      </c>
      <c r="G333" s="65">
        <v>783</v>
      </c>
      <c r="H333" s="65">
        <v>1200</v>
      </c>
      <c r="I333" s="65">
        <f>G333/H333</f>
        <v>0.6525</v>
      </c>
    </row>
    <row r="334" spans="5:9" s="65" customFormat="1" ht="12.75">
      <c r="E334" s="65" t="s">
        <v>262</v>
      </c>
      <c r="H334" s="65">
        <v>1650</v>
      </c>
      <c r="I334" s="69">
        <f>G334/H334</f>
        <v>0</v>
      </c>
    </row>
    <row r="335" spans="5:9" s="65" customFormat="1" ht="12.75">
      <c r="E335" s="65" t="s">
        <v>263</v>
      </c>
      <c r="G335" s="65">
        <v>2136</v>
      </c>
      <c r="H335" s="65">
        <v>9000</v>
      </c>
      <c r="I335" s="69">
        <f>G335/H335</f>
        <v>0.23733333333333334</v>
      </c>
    </row>
    <row r="336" spans="3:9" s="65" customFormat="1" ht="12.75">
      <c r="C336" s="65" t="s">
        <v>201</v>
      </c>
      <c r="G336" s="65">
        <f>G334+G335</f>
        <v>2136</v>
      </c>
      <c r="I336" s="69">
        <f>I333+I334+I335</f>
        <v>0.8898333333333333</v>
      </c>
    </row>
    <row r="337" s="65" customFormat="1" ht="12.75">
      <c r="F337" s="65" t="s">
        <v>258</v>
      </c>
    </row>
    <row r="338" spans="1:9" s="65" customFormat="1" ht="12.75">
      <c r="A338" s="65" t="s">
        <v>264</v>
      </c>
      <c r="B338" s="65" t="s">
        <v>265</v>
      </c>
      <c r="E338" s="65" t="s">
        <v>266</v>
      </c>
      <c r="G338" s="65">
        <v>577</v>
      </c>
      <c r="H338" s="65">
        <v>800</v>
      </c>
      <c r="I338" s="69">
        <f>G338/H338</f>
        <v>0.72125</v>
      </c>
    </row>
    <row r="339" spans="2:9" s="65" customFormat="1" ht="12.75">
      <c r="B339" s="65" t="s">
        <v>267</v>
      </c>
      <c r="E339" s="65" t="s">
        <v>268</v>
      </c>
      <c r="H339" s="65">
        <v>960</v>
      </c>
      <c r="I339" s="69">
        <f>G339/H339</f>
        <v>0</v>
      </c>
    </row>
    <row r="340" s="65" customFormat="1" ht="12.75">
      <c r="E340" s="65" t="s">
        <v>269</v>
      </c>
    </row>
    <row r="341" spans="3:9" s="65" customFormat="1" ht="12.75">
      <c r="C341" s="65" t="s">
        <v>201</v>
      </c>
      <c r="G341" s="65">
        <f>G338+G339+G340</f>
        <v>577</v>
      </c>
      <c r="I341" s="69">
        <f>I338+I339</f>
        <v>0.72125</v>
      </c>
    </row>
    <row r="342" s="65" customFormat="1" ht="12.75">
      <c r="F342" s="65" t="s">
        <v>270</v>
      </c>
    </row>
    <row r="343" spans="1:9" s="65" customFormat="1" ht="12.75">
      <c r="A343" s="65" t="s">
        <v>271</v>
      </c>
      <c r="B343" s="65" t="s">
        <v>272</v>
      </c>
      <c r="E343" s="65" t="s">
        <v>273</v>
      </c>
      <c r="H343" s="65">
        <v>500</v>
      </c>
      <c r="I343" s="69">
        <f>G343/H343</f>
        <v>0</v>
      </c>
    </row>
    <row r="344" spans="5:9" s="65" customFormat="1" ht="12.75">
      <c r="E344" s="65" t="s">
        <v>274</v>
      </c>
      <c r="H344" s="65">
        <v>700</v>
      </c>
      <c r="I344" s="69">
        <f>G344/H344</f>
        <v>0</v>
      </c>
    </row>
    <row r="345" s="65" customFormat="1" ht="12.75">
      <c r="E345" s="65" t="s">
        <v>275</v>
      </c>
    </row>
    <row r="346" spans="3:9" s="65" customFormat="1" ht="12.75">
      <c r="C346" s="65" t="s">
        <v>201</v>
      </c>
      <c r="G346" s="65">
        <f>G343+G344</f>
        <v>0</v>
      </c>
      <c r="I346" s="69">
        <f>I343+I344</f>
        <v>0</v>
      </c>
    </row>
    <row r="347" spans="1:2" s="65" customFormat="1" ht="12.75">
      <c r="A347" s="65" t="s">
        <v>276</v>
      </c>
      <c r="B347" s="65" t="s">
        <v>277</v>
      </c>
    </row>
    <row r="348" spans="2:9" s="65" customFormat="1" ht="12.75">
      <c r="B348" s="65" t="s">
        <v>278</v>
      </c>
      <c r="I348" s="65">
        <v>2</v>
      </c>
    </row>
  </sheetData>
  <sheetProtection/>
  <mergeCells count="47">
    <mergeCell ref="C136:I136"/>
    <mergeCell ref="A145:G145"/>
    <mergeCell ref="A149:E149"/>
    <mergeCell ref="A151:G151"/>
    <mergeCell ref="A155:D155"/>
    <mergeCell ref="A1:K1"/>
    <mergeCell ref="A2:K2"/>
    <mergeCell ref="A113:E113"/>
    <mergeCell ref="C102:D102"/>
    <mergeCell ref="A107:F107"/>
    <mergeCell ref="A109:G109"/>
    <mergeCell ref="A111:D111"/>
    <mergeCell ref="E111:G111"/>
    <mergeCell ref="A80:G80"/>
    <mergeCell ref="A82:G82"/>
    <mergeCell ref="A86:F86"/>
    <mergeCell ref="A91:D91"/>
    <mergeCell ref="A93:F93"/>
    <mergeCell ref="A97:E97"/>
    <mergeCell ref="A62:F62"/>
    <mergeCell ref="A68:F68"/>
    <mergeCell ref="A71:E71"/>
    <mergeCell ref="A74:G74"/>
    <mergeCell ref="A76:E76"/>
    <mergeCell ref="A78:G78"/>
    <mergeCell ref="A48:G48"/>
    <mergeCell ref="A50:G50"/>
    <mergeCell ref="A54:G54"/>
    <mergeCell ref="A56:G56"/>
    <mergeCell ref="A58:G58"/>
    <mergeCell ref="A60:F60"/>
    <mergeCell ref="A36:E36"/>
    <mergeCell ref="A38:G38"/>
    <mergeCell ref="A40:G40"/>
    <mergeCell ref="A42:G42"/>
    <mergeCell ref="A44:G44"/>
    <mergeCell ref="A46:G46"/>
    <mergeCell ref="A22:F22"/>
    <mergeCell ref="A24:F24"/>
    <mergeCell ref="A28:F28"/>
    <mergeCell ref="A30:G30"/>
    <mergeCell ref="A32:G32"/>
    <mergeCell ref="A34:G34"/>
    <mergeCell ref="A4:K4"/>
    <mergeCell ref="A5:K5"/>
    <mergeCell ref="A15:H15"/>
    <mergeCell ref="A17:G17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3:L14 M64 M80 M91 M101 L117:M117 H139:H141 H143 H145 K145 H151 H153 H155 H157 H159" evalError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311"/>
  <sheetViews>
    <sheetView zoomScalePageLayoutView="0" workbookViewId="0" topLeftCell="A1">
      <selection activeCell="E121" sqref="E121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7" width="9.140625" style="6" customWidth="1"/>
    <col min="8" max="8" width="9.421875" style="6" customWidth="1"/>
    <col min="9" max="9" width="11.140625" style="6" customWidth="1"/>
    <col min="10" max="10" width="8.28125" style="6" hidden="1" customWidth="1"/>
    <col min="11" max="11" width="14.0039062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448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2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33"/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9.11*1.042</f>
        <v>9.49262</v>
      </c>
    </row>
    <row r="7" spans="1:12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65">
        <f>L6*0.04</f>
        <v>0.3797048</v>
      </c>
    </row>
    <row r="8" spans="1:11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41768.5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K17+K30+K45+K58+K65+K75</f>
        <v>39394.27390382442</v>
      </c>
      <c r="L15" s="68"/>
      <c r="M15" s="65" t="s">
        <v>309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310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H19+H21+H22+H24+H25+H26+H27+H28</f>
        <v>8365.650178643686</v>
      </c>
      <c r="M17" s="65" t="s">
        <v>76</v>
      </c>
      <c r="O17" s="69">
        <f>I299</f>
        <v>1.074010101010101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I304</f>
        <v>0.5125</v>
      </c>
    </row>
    <row r="19" spans="1:15" ht="12.75">
      <c r="A19" s="113" t="s">
        <v>449</v>
      </c>
      <c r="B19" s="113"/>
      <c r="C19" s="113"/>
      <c r="D19" s="113"/>
      <c r="E19" s="113"/>
      <c r="F19" s="113"/>
      <c r="G19" s="22"/>
      <c r="H19" s="23">
        <f>O17*2600*1.75*1.07</f>
        <v>5228.818176767677</v>
      </c>
      <c r="I19" s="22"/>
      <c r="J19" s="22"/>
      <c r="K19" s="23"/>
      <c r="M19" s="65" t="s">
        <v>80</v>
      </c>
      <c r="O19" s="69"/>
    </row>
    <row r="20" spans="1:15" ht="12.75" hidden="1">
      <c r="A20" s="24"/>
      <c r="B20" s="24"/>
      <c r="C20" s="24"/>
      <c r="D20" s="24"/>
      <c r="E20" s="24"/>
      <c r="F20" s="24"/>
      <c r="G20" s="22"/>
      <c r="H20" s="23"/>
      <c r="I20" s="22"/>
      <c r="J20" s="22"/>
      <c r="K20" s="23"/>
      <c r="M20" s="65" t="s">
        <v>82</v>
      </c>
      <c r="O20" s="69">
        <v>4400.1</v>
      </c>
    </row>
    <row r="21" spans="1:15" ht="12.75">
      <c r="A21" s="113" t="s">
        <v>450</v>
      </c>
      <c r="B21" s="113"/>
      <c r="C21" s="113"/>
      <c r="D21" s="113"/>
      <c r="E21" s="113"/>
      <c r="F21" s="113"/>
      <c r="G21" s="22"/>
      <c r="H21" s="23">
        <f>O18*2203*1.3*1.07</f>
        <v>1570.4911625</v>
      </c>
      <c r="I21" s="22"/>
      <c r="J21" s="22"/>
      <c r="K21" s="23"/>
      <c r="M21" s="65" t="s">
        <v>83</v>
      </c>
      <c r="O21" s="65">
        <v>217</v>
      </c>
    </row>
    <row r="22" spans="1:16" ht="12.75">
      <c r="A22" s="23">
        <f>H19+H21</f>
        <v>6799.3093392676765</v>
      </c>
      <c r="B22" s="22" t="s">
        <v>84</v>
      </c>
      <c r="C22" s="22"/>
      <c r="D22" s="22"/>
      <c r="E22" s="22"/>
      <c r="F22" s="22"/>
      <c r="G22" s="22"/>
      <c r="H22" s="23">
        <f>(H19+H21)*14.2%</f>
        <v>965.50192617601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451</v>
      </c>
      <c r="B24" s="113"/>
      <c r="C24" s="113"/>
      <c r="D24" s="113"/>
      <c r="E24" s="113"/>
      <c r="F24" s="113"/>
      <c r="G24" s="22"/>
      <c r="H24" s="23">
        <f>0.057*O20</f>
        <v>250.80570000000003</v>
      </c>
      <c r="I24" s="23"/>
      <c r="J24" s="22"/>
      <c r="K24" s="23"/>
      <c r="N24" s="65">
        <v>10</v>
      </c>
      <c r="P24" s="65">
        <f>O24/2</f>
        <v>0</v>
      </c>
    </row>
    <row r="25" spans="1:14" ht="12.75">
      <c r="A25" s="113" t="s">
        <v>452</v>
      </c>
      <c r="B25" s="113"/>
      <c r="C25" s="113"/>
      <c r="D25" s="113"/>
      <c r="E25" s="113"/>
      <c r="F25" s="113"/>
      <c r="G25" s="113"/>
      <c r="H25" s="23">
        <f>0.0085*O21</f>
        <v>1.8445</v>
      </c>
      <c r="I25" s="23"/>
      <c r="J25" s="22"/>
      <c r="K25" s="23"/>
      <c r="N25" s="65">
        <v>16</v>
      </c>
    </row>
    <row r="26" spans="1:13" ht="12.75">
      <c r="A26" s="113" t="s">
        <v>453</v>
      </c>
      <c r="B26" s="113"/>
      <c r="C26" s="113"/>
      <c r="D26" s="113"/>
      <c r="E26" s="113"/>
      <c r="F26" s="113"/>
      <c r="G26" s="113"/>
      <c r="H26" s="23">
        <f>0.005*O20</f>
        <v>22.000500000000002</v>
      </c>
      <c r="I26" s="22"/>
      <c r="J26" s="22"/>
      <c r="K26" s="23"/>
      <c r="M26" s="65" t="s">
        <v>90</v>
      </c>
    </row>
    <row r="27" spans="1:15" ht="12.75">
      <c r="A27" s="113" t="s">
        <v>454</v>
      </c>
      <c r="B27" s="113"/>
      <c r="C27" s="113"/>
      <c r="D27" s="113"/>
      <c r="E27" s="113"/>
      <c r="F27" s="113"/>
      <c r="G27" s="113"/>
      <c r="H27" s="23">
        <f>O20*0.017</f>
        <v>74.80170000000001</v>
      </c>
      <c r="I27" s="22"/>
      <c r="J27" s="22">
        <v>13606.82</v>
      </c>
      <c r="K27" s="23"/>
      <c r="M27" s="65" t="s">
        <v>92</v>
      </c>
      <c r="O27" s="65">
        <v>36</v>
      </c>
    </row>
    <row r="28" spans="1:15" ht="12.75">
      <c r="A28" s="113" t="s">
        <v>93</v>
      </c>
      <c r="B28" s="113"/>
      <c r="C28" s="113"/>
      <c r="D28" s="113"/>
      <c r="E28" s="113"/>
      <c r="F28" s="113"/>
      <c r="G28" s="113"/>
      <c r="H28" s="23">
        <f>0.054*O20*1.058</f>
        <v>251.38651320000002</v>
      </c>
      <c r="I28" s="22"/>
      <c r="J28" s="22"/>
      <c r="K28" s="23"/>
      <c r="M28" s="65" t="s">
        <v>94</v>
      </c>
      <c r="O28" s="65">
        <v>887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H32+H33+H34+H35+H36+H37+H38+H39+H40+H41+H42+H43</f>
        <v>6697.85092</v>
      </c>
      <c r="M30" s="65" t="s">
        <v>96</v>
      </c>
      <c r="O30" s="69">
        <f>K287</f>
        <v>1.2092504209900599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2.411111111111111</v>
      </c>
    </row>
    <row r="32" spans="1:11" ht="12.75">
      <c r="A32" s="113" t="s">
        <v>455</v>
      </c>
      <c r="B32" s="113"/>
      <c r="C32" s="113"/>
      <c r="D32" s="113"/>
      <c r="E32" s="113"/>
      <c r="F32" s="113"/>
      <c r="G32" s="113"/>
      <c r="H32" s="28">
        <f>(O21*1.5)/12*90.3*1.058</f>
        <v>2591.451975</v>
      </c>
      <c r="I32" s="22"/>
      <c r="J32" s="22"/>
      <c r="K32" s="29"/>
    </row>
    <row r="33" spans="1:11" ht="12.75">
      <c r="A33" s="113" t="s">
        <v>456</v>
      </c>
      <c r="B33" s="113"/>
      <c r="C33" s="113"/>
      <c r="D33" s="113"/>
      <c r="E33" s="113"/>
      <c r="F33" s="113"/>
      <c r="G33" s="113"/>
      <c r="H33" s="28">
        <f>O21*1.5*33.1/12*1.058</f>
        <v>949.9120750000002</v>
      </c>
      <c r="I33" s="22"/>
      <c r="J33" s="22"/>
      <c r="K33" s="29"/>
    </row>
    <row r="34" spans="1:11" ht="12.75">
      <c r="A34" s="113" t="s">
        <v>457</v>
      </c>
      <c r="B34" s="113"/>
      <c r="C34" s="113"/>
      <c r="D34" s="113"/>
      <c r="E34" s="113"/>
      <c r="F34" s="113"/>
      <c r="G34" s="113"/>
      <c r="H34" s="28">
        <f>O28*2.48</f>
        <v>2199.7599999999998</v>
      </c>
      <c r="I34" s="22"/>
      <c r="J34" s="22"/>
      <c r="K34" s="29"/>
    </row>
    <row r="35" spans="1:11" ht="12.75">
      <c r="A35" s="113" t="s">
        <v>458</v>
      </c>
      <c r="B35" s="113"/>
      <c r="C35" s="113"/>
      <c r="D35" s="113"/>
      <c r="E35" s="113"/>
      <c r="F35" s="113"/>
      <c r="G35" s="113"/>
      <c r="H35" s="28">
        <f>O20*0.028</f>
        <v>123.20280000000001</v>
      </c>
      <c r="I35" s="22"/>
      <c r="J35" s="22"/>
      <c r="K35" s="29"/>
    </row>
    <row r="36" spans="1:11" ht="12.75">
      <c r="A36" s="113" t="s">
        <v>459</v>
      </c>
      <c r="B36" s="113"/>
      <c r="C36" s="113"/>
      <c r="D36" s="113"/>
      <c r="E36" s="113"/>
      <c r="F36" s="113"/>
      <c r="G36" s="113"/>
      <c r="H36" s="28">
        <f>O20*0.0027</f>
        <v>11.880270000000001</v>
      </c>
      <c r="I36" s="22"/>
      <c r="J36" s="22"/>
      <c r="K36" s="29"/>
    </row>
    <row r="37" spans="1:11" ht="12.75">
      <c r="A37" s="113" t="s">
        <v>460</v>
      </c>
      <c r="B37" s="113"/>
      <c r="C37" s="113"/>
      <c r="D37" s="113"/>
      <c r="E37" s="113"/>
      <c r="F37" s="113"/>
      <c r="G37" s="113"/>
      <c r="H37" s="28">
        <f>O27*4.81/12</f>
        <v>14.43</v>
      </c>
      <c r="I37" s="22"/>
      <c r="J37" s="22"/>
      <c r="K37" s="29"/>
    </row>
    <row r="38" spans="1:15" ht="12.75">
      <c r="A38" s="113" t="s">
        <v>461</v>
      </c>
      <c r="B38" s="113"/>
      <c r="C38" s="113"/>
      <c r="D38" s="113"/>
      <c r="E38" s="113"/>
      <c r="F38" s="113"/>
      <c r="G38" s="113"/>
      <c r="H38" s="28">
        <f>O38*80/12/3</f>
        <v>200</v>
      </c>
      <c r="I38" s="22"/>
      <c r="J38" s="22"/>
      <c r="K38" s="29"/>
      <c r="M38" s="65" t="s">
        <v>364</v>
      </c>
      <c r="O38" s="65">
        <v>90</v>
      </c>
    </row>
    <row r="39" spans="1:11" ht="12.75">
      <c r="A39" s="113" t="s">
        <v>462</v>
      </c>
      <c r="B39" s="113"/>
      <c r="C39" s="113"/>
      <c r="D39" s="113"/>
      <c r="E39" s="113"/>
      <c r="F39" s="113"/>
      <c r="G39" s="113"/>
      <c r="H39" s="28">
        <f>O20*0.027</f>
        <v>118.8027</v>
      </c>
      <c r="I39" s="22"/>
      <c r="J39" s="32"/>
      <c r="K39" s="29"/>
    </row>
    <row r="40" spans="1:11" ht="12.75">
      <c r="A40" s="113" t="s">
        <v>463</v>
      </c>
      <c r="B40" s="113"/>
      <c r="C40" s="113"/>
      <c r="D40" s="113"/>
      <c r="E40" s="113"/>
      <c r="F40" s="113"/>
      <c r="G40" s="113"/>
      <c r="H40" s="28">
        <f>O20*0.022</f>
        <v>96.8022</v>
      </c>
      <c r="I40" s="22"/>
      <c r="J40" s="22"/>
      <c r="K40" s="29"/>
    </row>
    <row r="41" spans="1:11" ht="12.75">
      <c r="A41" s="113" t="s">
        <v>464</v>
      </c>
      <c r="B41" s="113"/>
      <c r="C41" s="113"/>
      <c r="D41" s="113"/>
      <c r="E41" s="113"/>
      <c r="F41" s="113"/>
      <c r="G41" s="113"/>
      <c r="H41" s="28">
        <f>O20*0.022</f>
        <v>96.8022</v>
      </c>
      <c r="I41" s="22"/>
      <c r="J41" s="22"/>
      <c r="K41" s="29"/>
    </row>
    <row r="42" spans="1:11" ht="12.75">
      <c r="A42" s="113" t="s">
        <v>465</v>
      </c>
      <c r="B42" s="113"/>
      <c r="C42" s="113"/>
      <c r="D42" s="113"/>
      <c r="E42" s="113"/>
      <c r="F42" s="113"/>
      <c r="G42" s="24"/>
      <c r="H42" s="28">
        <f>O20*0.053</f>
        <v>233.20530000000002</v>
      </c>
      <c r="I42" s="22"/>
      <c r="J42" s="22"/>
      <c r="K42" s="29"/>
    </row>
    <row r="43" spans="1:11" ht="12.75">
      <c r="A43" s="113" t="s">
        <v>466</v>
      </c>
      <c r="B43" s="113"/>
      <c r="C43" s="113"/>
      <c r="D43" s="113"/>
      <c r="E43" s="113"/>
      <c r="F43" s="113"/>
      <c r="G43" s="24"/>
      <c r="H43" s="28">
        <f>O20*0.014</f>
        <v>61.601400000000005</v>
      </c>
      <c r="I43" s="22"/>
      <c r="J43" s="22"/>
      <c r="K43" s="29"/>
    </row>
    <row r="44" spans="1:11" ht="12.75">
      <c r="A44" s="24"/>
      <c r="B44" s="24"/>
      <c r="C44" s="24"/>
      <c r="D44" s="24"/>
      <c r="E44" s="24"/>
      <c r="F44" s="24"/>
      <c r="G44" s="24"/>
      <c r="H44" s="28"/>
      <c r="I44" s="22"/>
      <c r="J44" s="22"/>
      <c r="K44" s="29"/>
    </row>
    <row r="45" spans="1:13" ht="15.75">
      <c r="A45" s="20" t="s">
        <v>111</v>
      </c>
      <c r="B45" s="20"/>
      <c r="C45" s="20"/>
      <c r="D45" s="20"/>
      <c r="E45" s="20"/>
      <c r="F45" s="20"/>
      <c r="G45" s="20"/>
      <c r="H45" s="27"/>
      <c r="I45" s="20"/>
      <c r="J45" s="20"/>
      <c r="K45" s="21">
        <f>H48+H50+H51+H52+H53+H54+H55+H56</f>
        <v>16923.644465180736</v>
      </c>
      <c r="M45" s="71" t="e">
        <f>K45/309084*#REF!</f>
        <v>#REF!</v>
      </c>
    </row>
    <row r="46" spans="1:11" ht="12.75">
      <c r="A46" s="22"/>
      <c r="B46" s="22" t="s">
        <v>64</v>
      </c>
      <c r="C46" s="22"/>
      <c r="D46" s="22"/>
      <c r="E46" s="22"/>
      <c r="F46" s="22"/>
      <c r="G46" s="22"/>
      <c r="H46" s="28"/>
      <c r="I46" s="22"/>
      <c r="J46" s="22"/>
      <c r="K46" s="29"/>
    </row>
    <row r="47" spans="1:11" ht="12.75">
      <c r="A47" s="33" t="s">
        <v>112</v>
      </c>
      <c r="B47" s="33"/>
      <c r="C47" s="33"/>
      <c r="D47" s="33"/>
      <c r="E47" s="33"/>
      <c r="F47" s="33"/>
      <c r="G47" s="33"/>
      <c r="H47" s="34"/>
      <c r="I47" s="33"/>
      <c r="J47" s="33"/>
      <c r="K47" s="35"/>
    </row>
    <row r="48" spans="1:11" ht="12.75">
      <c r="A48" s="111" t="s">
        <v>467</v>
      </c>
      <c r="B48" s="111"/>
      <c r="C48" s="111"/>
      <c r="D48" s="111"/>
      <c r="E48" s="111"/>
      <c r="F48" s="111"/>
      <c r="G48" s="36"/>
      <c r="H48" s="37">
        <f>K287*24.48*165.1*1.5*1.07</f>
        <v>7844.220095517281</v>
      </c>
      <c r="I48" s="38"/>
      <c r="J48" s="38"/>
      <c r="K48" s="35"/>
    </row>
    <row r="49" spans="1:11" ht="12.75">
      <c r="A49" s="33" t="s">
        <v>114</v>
      </c>
      <c r="B49" s="33"/>
      <c r="C49" s="33"/>
      <c r="D49" s="33"/>
      <c r="E49" s="33"/>
      <c r="F49" s="33"/>
      <c r="G49" s="33"/>
      <c r="H49" s="34"/>
      <c r="I49" s="33"/>
      <c r="J49" s="33"/>
      <c r="K49" s="35"/>
    </row>
    <row r="50" spans="1:11" ht="12.75">
      <c r="A50" s="39">
        <f>H48</f>
        <v>7844.220095517281</v>
      </c>
      <c r="B50" s="36" t="s">
        <v>115</v>
      </c>
      <c r="C50" s="36"/>
      <c r="D50" s="36"/>
      <c r="E50" s="36"/>
      <c r="F50" s="36"/>
      <c r="G50" s="38"/>
      <c r="H50" s="37">
        <f>H48*14.2%</f>
        <v>1113.8792535634539</v>
      </c>
      <c r="I50" s="38"/>
      <c r="J50" s="38"/>
      <c r="K50" s="35"/>
    </row>
    <row r="51" spans="1:11" ht="12.75">
      <c r="A51" s="30" t="s">
        <v>86</v>
      </c>
      <c r="B51" s="30"/>
      <c r="C51" s="30"/>
      <c r="D51" s="30"/>
      <c r="E51" s="30"/>
      <c r="F51" s="40"/>
      <c r="G51" s="40"/>
      <c r="H51" s="37">
        <f>0.04*O20</f>
        <v>176.00400000000002</v>
      </c>
      <c r="I51" s="38"/>
      <c r="J51" s="38"/>
      <c r="K51" s="35"/>
    </row>
    <row r="52" spans="1:12" ht="12.75">
      <c r="A52" s="108" t="s">
        <v>116</v>
      </c>
      <c r="B52" s="108"/>
      <c r="C52" s="108"/>
      <c r="D52" s="108"/>
      <c r="E52" s="108"/>
      <c r="F52" s="108"/>
      <c r="G52" s="108"/>
      <c r="H52" s="37">
        <v>6350</v>
      </c>
      <c r="I52" s="38"/>
      <c r="J52" s="38"/>
      <c r="K52" s="35"/>
      <c r="L52" s="65">
        <f>0.97*O20</f>
        <v>4268.097000000001</v>
      </c>
    </row>
    <row r="53" spans="1:11" ht="12.75">
      <c r="A53" s="108" t="s">
        <v>468</v>
      </c>
      <c r="B53" s="108"/>
      <c r="C53" s="108"/>
      <c r="D53" s="108"/>
      <c r="E53" s="108"/>
      <c r="F53" s="30"/>
      <c r="G53" s="30"/>
      <c r="H53" s="37">
        <f>0.0037*O20</f>
        <v>16.28037</v>
      </c>
      <c r="I53" s="38"/>
      <c r="J53" s="38"/>
      <c r="K53" s="35"/>
    </row>
    <row r="54" spans="1:12" ht="12.75">
      <c r="A54" s="108" t="s">
        <v>469</v>
      </c>
      <c r="B54" s="108"/>
      <c r="C54" s="108"/>
      <c r="D54" s="108"/>
      <c r="E54" s="108"/>
      <c r="F54" s="108"/>
      <c r="G54" s="108"/>
      <c r="H54" s="37">
        <f>O20*0.082</f>
        <v>360.80820000000006</v>
      </c>
      <c r="I54" s="38"/>
      <c r="J54" s="38"/>
      <c r="K54" s="35"/>
      <c r="L54" s="69"/>
    </row>
    <row r="55" spans="1:13" ht="12.75">
      <c r="A55" s="108" t="s">
        <v>470</v>
      </c>
      <c r="B55" s="108"/>
      <c r="C55" s="108"/>
      <c r="D55" s="108"/>
      <c r="E55" s="108"/>
      <c r="F55" s="108"/>
      <c r="G55" s="108"/>
      <c r="H55" s="31">
        <f>O20*0.023*1.107</f>
        <v>112.03094610000001</v>
      </c>
      <c r="I55" s="33"/>
      <c r="J55" s="33"/>
      <c r="K55" s="35"/>
      <c r="M55" s="65" t="e">
        <f>36646.37/309083*#REF!</f>
        <v>#REF!</v>
      </c>
    </row>
    <row r="56" spans="1:11" ht="12.75">
      <c r="A56" s="30" t="s">
        <v>471</v>
      </c>
      <c r="B56" s="30"/>
      <c r="C56" s="30"/>
      <c r="D56" s="30"/>
      <c r="E56" s="30"/>
      <c r="F56" s="30"/>
      <c r="G56" s="30"/>
      <c r="H56" s="31">
        <f>0.216*O20</f>
        <v>950.4216</v>
      </c>
      <c r="I56" s="33"/>
      <c r="J56" s="33"/>
      <c r="K56" s="35"/>
    </row>
    <row r="57" spans="1:11" ht="12.75">
      <c r="A57" s="38"/>
      <c r="B57" s="38"/>
      <c r="C57" s="38"/>
      <c r="D57" s="40"/>
      <c r="E57" s="40"/>
      <c r="F57" s="40"/>
      <c r="G57" s="44"/>
      <c r="H57" s="31"/>
      <c r="I57" s="40"/>
      <c r="J57" s="40"/>
      <c r="K57" s="122"/>
    </row>
    <row r="58" spans="1:13" ht="15.75">
      <c r="A58" s="110" t="s">
        <v>121</v>
      </c>
      <c r="B58" s="110"/>
      <c r="C58" s="110"/>
      <c r="D58" s="110"/>
      <c r="E58" s="42"/>
      <c r="F58" s="42"/>
      <c r="G58" s="20"/>
      <c r="H58" s="27"/>
      <c r="I58" s="20"/>
      <c r="J58" s="20"/>
      <c r="K58" s="21">
        <f>H60+H61+H62+H63</f>
        <v>3180.8322900000003</v>
      </c>
      <c r="M58" s="72" t="e">
        <f>51932.37/301083*#REF!</f>
        <v>#REF!</v>
      </c>
    </row>
    <row r="59" spans="1:11" ht="12.75">
      <c r="A59" s="111" t="s">
        <v>122</v>
      </c>
      <c r="B59" s="111"/>
      <c r="C59" s="111"/>
      <c r="D59" s="111"/>
      <c r="E59" s="111"/>
      <c r="F59" s="111"/>
      <c r="G59" s="36"/>
      <c r="H59" s="37"/>
      <c r="I59" s="36"/>
      <c r="J59" s="36"/>
      <c r="K59" s="35"/>
    </row>
    <row r="60" spans="1:11" ht="12.75">
      <c r="A60" s="36" t="s">
        <v>472</v>
      </c>
      <c r="B60" s="36"/>
      <c r="C60" s="36"/>
      <c r="D60" s="36"/>
      <c r="E60" s="36"/>
      <c r="F60" s="36"/>
      <c r="G60" s="36"/>
      <c r="H60" s="37">
        <f>0.2227*O20</f>
        <v>979.9022700000002</v>
      </c>
      <c r="I60" s="36"/>
      <c r="J60" s="36"/>
      <c r="K60" s="35"/>
    </row>
    <row r="61" spans="1:11" ht="12.75">
      <c r="A61" s="30" t="s">
        <v>473</v>
      </c>
      <c r="B61" s="43"/>
      <c r="C61" s="30"/>
      <c r="D61" s="30"/>
      <c r="E61" s="44"/>
      <c r="F61" s="38"/>
      <c r="G61" s="38"/>
      <c r="H61" s="37">
        <f>0.0257*O20</f>
        <v>113.08257000000002</v>
      </c>
      <c r="I61" s="38"/>
      <c r="J61" s="38"/>
      <c r="K61" s="35"/>
    </row>
    <row r="62" spans="1:11" ht="12.75">
      <c r="A62" s="111" t="s">
        <v>474</v>
      </c>
      <c r="B62" s="111"/>
      <c r="C62" s="111"/>
      <c r="D62" s="111"/>
      <c r="E62" s="111"/>
      <c r="F62" s="38"/>
      <c r="G62" s="38"/>
      <c r="H62" s="37">
        <f>0.0945*O20</f>
        <v>415.80945</v>
      </c>
      <c r="I62" s="38"/>
      <c r="J62" s="38"/>
      <c r="K62" s="35"/>
    </row>
    <row r="63" spans="1:11" ht="12.75">
      <c r="A63" s="36" t="s">
        <v>475</v>
      </c>
      <c r="B63" s="36"/>
      <c r="C63" s="36"/>
      <c r="D63" s="36"/>
      <c r="E63" s="36"/>
      <c r="F63" s="38"/>
      <c r="G63" s="38"/>
      <c r="H63" s="37">
        <f>0.38*O20</f>
        <v>1672.0380000000002</v>
      </c>
      <c r="I63" s="38"/>
      <c r="J63" s="38"/>
      <c r="K63" s="45"/>
    </row>
    <row r="64" spans="1:11" ht="12.75">
      <c r="A64" s="30"/>
      <c r="B64" s="30"/>
      <c r="C64" s="30"/>
      <c r="D64" s="30"/>
      <c r="E64" s="38"/>
      <c r="F64" s="38"/>
      <c r="G64" s="38"/>
      <c r="H64" s="37"/>
      <c r="I64" s="38"/>
      <c r="J64" s="38"/>
      <c r="K64" s="35"/>
    </row>
    <row r="65" spans="1:13" ht="15.75">
      <c r="A65" s="26" t="s">
        <v>127</v>
      </c>
      <c r="B65" s="26"/>
      <c r="C65" s="26"/>
      <c r="D65" s="26"/>
      <c r="E65" s="26"/>
      <c r="F65" s="26"/>
      <c r="G65" s="26"/>
      <c r="H65" s="46"/>
      <c r="I65" s="20"/>
      <c r="J65" s="20"/>
      <c r="K65" s="21">
        <f>O20*0.94</f>
        <v>4136.094</v>
      </c>
      <c r="M65" s="71" t="e">
        <f>231179.9/309083*#REF!</f>
        <v>#REF!</v>
      </c>
    </row>
    <row r="66" spans="1:11" ht="15.75">
      <c r="A66" s="47"/>
      <c r="B66" s="47"/>
      <c r="C66" s="112" t="s">
        <v>64</v>
      </c>
      <c r="D66" s="112"/>
      <c r="E66" s="47"/>
      <c r="F66" s="47"/>
      <c r="G66" s="47"/>
      <c r="H66" s="48"/>
      <c r="I66" s="47"/>
      <c r="J66" s="47"/>
      <c r="K66" s="49"/>
    </row>
    <row r="67" spans="1:11" ht="12.75">
      <c r="A67" s="30" t="s">
        <v>128</v>
      </c>
      <c r="B67" s="30"/>
      <c r="C67" s="30"/>
      <c r="D67" s="30"/>
      <c r="E67" s="30"/>
      <c r="F67" s="30"/>
      <c r="G67" s="30"/>
      <c r="H67" s="37"/>
      <c r="I67" s="38"/>
      <c r="J67" s="38"/>
      <c r="K67" s="35"/>
    </row>
    <row r="68" spans="1:11" ht="12.75">
      <c r="A68" s="30" t="s">
        <v>129</v>
      </c>
      <c r="B68" s="43"/>
      <c r="C68" s="30"/>
      <c r="D68" s="30"/>
      <c r="E68" s="30"/>
      <c r="F68" s="44"/>
      <c r="G68" s="44"/>
      <c r="H68" s="37"/>
      <c r="I68" s="38"/>
      <c r="J68" s="38"/>
      <c r="K68" s="35"/>
    </row>
    <row r="69" spans="1:11" ht="12.75">
      <c r="A69" s="108" t="s">
        <v>130</v>
      </c>
      <c r="B69" s="108"/>
      <c r="C69" s="108"/>
      <c r="D69" s="108"/>
      <c r="E69" s="108"/>
      <c r="F69" s="108"/>
      <c r="G69" s="44"/>
      <c r="H69" s="37"/>
      <c r="I69" s="38"/>
      <c r="J69" s="38"/>
      <c r="K69" s="35"/>
    </row>
    <row r="70" spans="1:11" ht="12.75">
      <c r="A70" s="108" t="s">
        <v>131</v>
      </c>
      <c r="B70" s="108"/>
      <c r="C70" s="108"/>
      <c r="D70" s="108"/>
      <c r="E70" s="108"/>
      <c r="F70" s="108"/>
      <c r="G70" s="108"/>
      <c r="H70" s="37"/>
      <c r="I70" s="38"/>
      <c r="J70" s="38"/>
      <c r="K70" s="35"/>
    </row>
    <row r="71" spans="1:11" ht="12.75">
      <c r="A71" s="108" t="s">
        <v>132</v>
      </c>
      <c r="B71" s="108"/>
      <c r="C71" s="108"/>
      <c r="D71" s="108"/>
      <c r="E71" s="109"/>
      <c r="F71" s="109"/>
      <c r="G71" s="109"/>
      <c r="H71" s="37"/>
      <c r="I71" s="38"/>
      <c r="J71" s="38"/>
      <c r="K71" s="35"/>
    </row>
    <row r="72" spans="1:11" ht="12.75">
      <c r="A72" s="108" t="s">
        <v>133</v>
      </c>
      <c r="B72" s="108"/>
      <c r="C72" s="108"/>
      <c r="D72" s="108"/>
      <c r="E72" s="108"/>
      <c r="F72" s="44"/>
      <c r="G72" s="44"/>
      <c r="H72" s="37"/>
      <c r="I72" s="38"/>
      <c r="J72" s="38"/>
      <c r="K72" s="35"/>
    </row>
    <row r="73" spans="1:11" ht="12.75">
      <c r="A73" s="44" t="s">
        <v>134</v>
      </c>
      <c r="B73" s="44"/>
      <c r="C73" s="44"/>
      <c r="D73" s="44"/>
      <c r="E73" s="44"/>
      <c r="F73" s="44"/>
      <c r="G73" s="44"/>
      <c r="H73" s="37"/>
      <c r="I73" s="38"/>
      <c r="J73" s="38"/>
      <c r="K73" s="35"/>
    </row>
    <row r="74" spans="1:11" ht="12.75">
      <c r="A74" s="22"/>
      <c r="B74" s="22"/>
      <c r="C74" s="22"/>
      <c r="D74" s="22"/>
      <c r="E74" s="22"/>
      <c r="F74" s="22"/>
      <c r="G74" s="22"/>
      <c r="H74" s="28"/>
      <c r="I74" s="22"/>
      <c r="J74" s="22"/>
      <c r="K74" s="29"/>
    </row>
    <row r="75" spans="1:13" ht="15.75">
      <c r="A75" s="20" t="s">
        <v>135</v>
      </c>
      <c r="B75" s="20"/>
      <c r="C75" s="20"/>
      <c r="D75" s="20"/>
      <c r="E75" s="20"/>
      <c r="F75" s="51"/>
      <c r="G75" s="51"/>
      <c r="H75" s="52"/>
      <c r="I75" s="51"/>
      <c r="J75" s="51"/>
      <c r="K75" s="21">
        <f>0.0205*O20</f>
        <v>90.20205000000001</v>
      </c>
      <c r="L75" s="72" t="e">
        <f>K75/309084*#REF!</f>
        <v>#REF!</v>
      </c>
      <c r="M75" s="72" t="e">
        <f>L75/309084*#REF!</f>
        <v>#REF!</v>
      </c>
    </row>
    <row r="76" spans="1:13" ht="15.75">
      <c r="A76" s="53"/>
      <c r="B76" s="54"/>
      <c r="C76" s="54"/>
      <c r="D76" s="54"/>
      <c r="E76" s="54"/>
      <c r="F76" s="53"/>
      <c r="G76" s="53"/>
      <c r="H76" s="55"/>
      <c r="I76" s="53"/>
      <c r="J76" s="53"/>
      <c r="K76" s="56"/>
      <c r="L76" s="72"/>
      <c r="M76" s="72"/>
    </row>
    <row r="77" spans="1:11" ht="15.75">
      <c r="A77" s="57" t="s">
        <v>136</v>
      </c>
      <c r="B77" s="57"/>
      <c r="C77" s="57"/>
      <c r="D77" s="58"/>
      <c r="E77" s="58"/>
      <c r="F77" s="58"/>
      <c r="G77" s="58"/>
      <c r="H77" s="59"/>
      <c r="I77" s="58"/>
      <c r="J77" s="58"/>
      <c r="K77" s="60">
        <f>K15*6%</f>
        <v>2363.656434229465</v>
      </c>
    </row>
    <row r="78" spans="1:11" ht="15">
      <c r="A78" s="58"/>
      <c r="B78" s="61"/>
      <c r="C78" s="61"/>
      <c r="D78" s="61"/>
      <c r="E78" s="61"/>
      <c r="F78" s="61"/>
      <c r="G78" s="61"/>
      <c r="H78" s="62"/>
      <c r="I78" s="58"/>
      <c r="J78" s="58"/>
      <c r="K78" s="58"/>
    </row>
    <row r="79" spans="1:11" ht="15.75">
      <c r="A79" s="63" t="s">
        <v>137</v>
      </c>
      <c r="B79" s="63"/>
      <c r="C79" s="63"/>
      <c r="D79" s="63"/>
      <c r="E79" s="63"/>
      <c r="F79" s="63"/>
      <c r="G79" s="63"/>
      <c r="H79" s="63"/>
      <c r="I79" s="63"/>
      <c r="J79" s="63"/>
      <c r="K79" s="64">
        <f>K77+K15</f>
        <v>41757.930338053884</v>
      </c>
    </row>
    <row r="80" spans="1:11" ht="15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4"/>
    </row>
    <row r="81" spans="1:11" ht="15.75">
      <c r="A81" s="63" t="s">
        <v>138</v>
      </c>
      <c r="B81" s="63"/>
      <c r="C81" s="63"/>
      <c r="D81" s="63"/>
      <c r="E81" s="63"/>
      <c r="F81" s="63"/>
      <c r="G81" s="63"/>
      <c r="H81" s="63"/>
      <c r="I81" s="63"/>
      <c r="J81" s="63"/>
      <c r="K81" s="64">
        <f>K79/O20</f>
        <v>9.490223026307103</v>
      </c>
    </row>
    <row r="82" spans="1:11" ht="15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4"/>
    </row>
    <row r="83" spans="1:11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2.75">
      <c r="A89" s="126"/>
      <c r="B89" s="126"/>
      <c r="C89" s="126"/>
      <c r="D89" s="126"/>
      <c r="E89" s="126"/>
      <c r="G89" s="126"/>
      <c r="H89" s="126"/>
      <c r="I89" s="126"/>
      <c r="J89" s="126"/>
      <c r="K89" s="126"/>
    </row>
    <row r="90" spans="1:11" ht="12.75">
      <c r="A90" s="126"/>
      <c r="B90" s="126"/>
      <c r="C90" s="126"/>
      <c r="D90" s="126"/>
      <c r="E90" s="126"/>
      <c r="G90" s="126"/>
      <c r="H90" s="126"/>
      <c r="I90" s="126"/>
      <c r="J90" s="126"/>
      <c r="K90" s="126"/>
    </row>
    <row r="91" spans="1:11" ht="12.75">
      <c r="A91" s="126"/>
      <c r="B91" s="126"/>
      <c r="C91" s="126"/>
      <c r="D91" s="126"/>
      <c r="E91" s="126"/>
      <c r="G91" s="126"/>
      <c r="H91" s="126"/>
      <c r="I91" s="126"/>
      <c r="J91" s="126"/>
      <c r="K91" s="126"/>
    </row>
    <row r="92" spans="1:11" ht="12.75">
      <c r="A92" s="126"/>
      <c r="B92" s="126"/>
      <c r="C92" s="126"/>
      <c r="D92" s="126"/>
      <c r="E92" s="126"/>
      <c r="G92" s="126"/>
      <c r="H92" s="126"/>
      <c r="I92" s="126"/>
      <c r="J92" s="126"/>
      <c r="K92" s="126"/>
    </row>
    <row r="93" spans="1:11" ht="12.75">
      <c r="A93" s="126"/>
      <c r="B93" s="126"/>
      <c r="C93" s="126"/>
      <c r="D93" s="126"/>
      <c r="E93" s="126"/>
      <c r="G93" s="126"/>
      <c r="H93" s="126"/>
      <c r="I93" s="126"/>
      <c r="J93" s="126"/>
      <c r="K93" s="126"/>
    </row>
    <row r="94" spans="1:11" ht="12.75">
      <c r="A94" s="126"/>
      <c r="B94" s="126"/>
      <c r="C94" s="126"/>
      <c r="D94" s="126"/>
      <c r="E94" s="126"/>
      <c r="G94" s="126"/>
      <c r="H94" s="126"/>
      <c r="I94" s="126"/>
      <c r="J94" s="126"/>
      <c r="K94" s="126"/>
    </row>
    <row r="95" spans="1:11" ht="12.75">
      <c r="A95" s="126"/>
      <c r="B95" s="126"/>
      <c r="C95" s="126"/>
      <c r="D95" s="126"/>
      <c r="E95" s="126"/>
      <c r="G95" s="126"/>
      <c r="H95" s="126"/>
      <c r="I95" s="126"/>
      <c r="J95" s="126"/>
      <c r="K95" s="126"/>
    </row>
    <row r="99" spans="3:9" s="65" customFormat="1" ht="15.75">
      <c r="C99" s="106" t="s">
        <v>139</v>
      </c>
      <c r="D99" s="107"/>
      <c r="E99" s="107"/>
      <c r="F99" s="107"/>
      <c r="G99" s="107"/>
      <c r="H99" s="107"/>
      <c r="I99" s="107"/>
    </row>
    <row r="100" spans="3:9" s="65" customFormat="1" ht="15.75">
      <c r="C100" s="74" t="s">
        <v>140</v>
      </c>
      <c r="D100" s="74" t="s">
        <v>141</v>
      </c>
      <c r="E100" s="74"/>
      <c r="F100" s="74"/>
      <c r="G100" s="75"/>
      <c r="H100" s="75"/>
      <c r="I100" s="75"/>
    </row>
    <row r="101" s="65" customFormat="1" ht="12.75"/>
    <row r="102" spans="5:8" s="65" customFormat="1" ht="12.75">
      <c r="E102" s="65" t="s">
        <v>142</v>
      </c>
      <c r="H102" s="65" t="e">
        <f>#REF!</f>
        <v>#REF!</v>
      </c>
    </row>
    <row r="103" spans="5:8" s="65" customFormat="1" ht="12.75">
      <c r="E103" s="65" t="s">
        <v>143</v>
      </c>
      <c r="H103" s="65" t="e">
        <f>#REF!</f>
        <v>#REF!</v>
      </c>
    </row>
    <row r="104" spans="5:8" s="65" customFormat="1" ht="12.75">
      <c r="E104" s="65" t="s">
        <v>144</v>
      </c>
      <c r="H104" s="65" t="e">
        <f>#REF!</f>
        <v>#REF!</v>
      </c>
    </row>
    <row r="105" spans="5:8" s="65" customFormat="1" ht="12.75">
      <c r="E105" s="65" t="s">
        <v>145</v>
      </c>
      <c r="H105" s="65">
        <f>O21</f>
        <v>217</v>
      </c>
    </row>
    <row r="106" spans="5:8" s="65" customFormat="1" ht="12.75">
      <c r="E106" s="65" t="s">
        <v>146</v>
      </c>
      <c r="H106" s="65" t="e">
        <f>#REF!</f>
        <v>#REF!</v>
      </c>
    </row>
    <row r="107" s="65" customFormat="1" ht="12.75"/>
    <row r="108" spans="1:11" s="65" customFormat="1" ht="15.75">
      <c r="A108" s="105" t="s">
        <v>72</v>
      </c>
      <c r="B108" s="105"/>
      <c r="C108" s="105"/>
      <c r="D108" s="105"/>
      <c r="E108" s="105"/>
      <c r="F108" s="105"/>
      <c r="G108" s="105"/>
      <c r="H108" s="76" t="e">
        <f>H110+H112+H114+H116+H118+H120+H122</f>
        <v>#REF!</v>
      </c>
      <c r="I108" s="77" t="s">
        <v>70</v>
      </c>
      <c r="K108" s="78" t="e">
        <f>H108-20000</f>
        <v>#REF!</v>
      </c>
    </row>
    <row r="109" spans="1:7" s="65" customFormat="1" ht="12.75">
      <c r="A109" s="79"/>
      <c r="B109" s="79"/>
      <c r="C109" s="79"/>
      <c r="D109" s="79"/>
      <c r="E109" s="79"/>
      <c r="F109" s="79"/>
      <c r="G109" s="79"/>
    </row>
    <row r="110" spans="1:8" s="65" customFormat="1" ht="15.75">
      <c r="A110" s="80" t="s">
        <v>147</v>
      </c>
      <c r="B110" s="80"/>
      <c r="C110" s="80"/>
      <c r="D110" s="80"/>
      <c r="E110" s="80"/>
      <c r="F110" s="80"/>
      <c r="G110" s="80"/>
      <c r="H110" s="78">
        <f>K17</f>
        <v>8365.650178643686</v>
      </c>
    </row>
    <row r="111" spans="1:8" s="65" customFormat="1" ht="12.75">
      <c r="A111" s="79"/>
      <c r="B111" s="79"/>
      <c r="C111" s="79"/>
      <c r="D111" s="79"/>
      <c r="E111" s="79"/>
      <c r="F111" s="79"/>
      <c r="G111" s="79"/>
      <c r="H111" s="78"/>
    </row>
    <row r="112" spans="1:8" s="65" customFormat="1" ht="15.75">
      <c r="A112" s="105" t="s">
        <v>95</v>
      </c>
      <c r="B112" s="105"/>
      <c r="C112" s="105"/>
      <c r="D112" s="105"/>
      <c r="E112" s="105"/>
      <c r="F112" s="80"/>
      <c r="G112" s="80"/>
      <c r="H112" s="78">
        <f>K30</f>
        <v>6697.85092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78"/>
    </row>
    <row r="114" spans="1:8" s="65" customFormat="1" ht="15.75">
      <c r="A114" s="105" t="s">
        <v>148</v>
      </c>
      <c r="B114" s="105"/>
      <c r="C114" s="105"/>
      <c r="D114" s="105"/>
      <c r="E114" s="105"/>
      <c r="F114" s="105"/>
      <c r="G114" s="105"/>
      <c r="H114" s="81" t="e">
        <f>#REF!</f>
        <v>#REF!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82"/>
    </row>
    <row r="116" spans="1:8" s="65" customFormat="1" ht="15.75">
      <c r="A116" s="80" t="s">
        <v>111</v>
      </c>
      <c r="B116" s="80"/>
      <c r="C116" s="80"/>
      <c r="D116" s="80"/>
      <c r="E116" s="80"/>
      <c r="F116" s="80"/>
      <c r="G116" s="80"/>
      <c r="H116" s="82" t="e">
        <f>M45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105" t="s">
        <v>149</v>
      </c>
      <c r="B118" s="105"/>
      <c r="C118" s="105"/>
      <c r="D118" s="105"/>
      <c r="E118" s="80"/>
      <c r="F118" s="80"/>
      <c r="G118" s="80"/>
      <c r="H118" s="81" t="e">
        <f>M58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83" t="s">
        <v>127</v>
      </c>
      <c r="B120" s="83"/>
      <c r="C120" s="83"/>
      <c r="D120" s="83"/>
      <c r="E120" s="83"/>
      <c r="F120" s="83"/>
      <c r="G120" s="83"/>
      <c r="H120" s="81" t="e">
        <f>M65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150</v>
      </c>
      <c r="B122" s="80"/>
      <c r="C122" s="80"/>
      <c r="D122" s="80"/>
      <c r="E122" s="80"/>
      <c r="F122" s="84"/>
      <c r="G122" s="84"/>
      <c r="H122" s="81" t="e">
        <f>L75</f>
        <v>#REF!</v>
      </c>
    </row>
    <row r="123" s="65" customFormat="1" ht="12.75"/>
    <row r="124" s="65" customFormat="1" ht="12.75"/>
    <row r="125" s="65" customFormat="1" ht="12.75">
      <c r="H125" s="65" t="s">
        <v>151</v>
      </c>
    </row>
    <row r="126" s="65" customFormat="1" ht="12.75">
      <c r="H126" s="65" t="s">
        <v>146</v>
      </c>
    </row>
    <row r="127" s="65" customFormat="1" ht="12.75">
      <c r="H127" s="65" t="s">
        <v>152</v>
      </c>
    </row>
    <row r="128" s="65" customFormat="1" ht="12.75"/>
    <row r="129" s="65" customFormat="1" ht="12.75"/>
    <row r="130" s="65" customFormat="1" ht="12.75">
      <c r="F130" s="65" t="s">
        <v>153</v>
      </c>
    </row>
    <row r="131" s="65" customFormat="1" ht="12.75">
      <c r="D131" s="65" t="s">
        <v>154</v>
      </c>
    </row>
    <row r="132" s="65" customFormat="1" ht="12.75">
      <c r="D132" s="65" t="s">
        <v>155</v>
      </c>
    </row>
    <row r="133" spans="6:13" s="65" customFormat="1" ht="12.75">
      <c r="F133" s="65" t="s">
        <v>156</v>
      </c>
      <c r="M133" s="65" t="s">
        <v>157</v>
      </c>
    </row>
    <row r="134" s="65" customFormat="1" ht="12.75">
      <c r="M134" s="65" t="s">
        <v>158</v>
      </c>
    </row>
    <row r="135" spans="1:13" s="65" customFormat="1" ht="12.75">
      <c r="A135" s="65" t="s">
        <v>159</v>
      </c>
      <c r="B135" s="65" t="s">
        <v>160</v>
      </c>
      <c r="D135" s="65" t="s">
        <v>161</v>
      </c>
      <c r="F135" s="65" t="s">
        <v>162</v>
      </c>
      <c r="G135" s="65" t="s">
        <v>163</v>
      </c>
      <c r="H135" s="65" t="s">
        <v>164</v>
      </c>
      <c r="J135" s="65" t="s">
        <v>165</v>
      </c>
      <c r="M135" s="73" t="s">
        <v>166</v>
      </c>
    </row>
    <row r="136" spans="1:14" s="65" customFormat="1" ht="12.75">
      <c r="A136" s="65" t="s">
        <v>167</v>
      </c>
      <c r="B136" s="65" t="s">
        <v>168</v>
      </c>
      <c r="D136" s="65" t="s">
        <v>169</v>
      </c>
      <c r="F136" s="65" t="s">
        <v>170</v>
      </c>
      <c r="G136" s="65" t="s">
        <v>171</v>
      </c>
      <c r="H136" s="65" t="s">
        <v>172</v>
      </c>
      <c r="J136" s="65" t="s">
        <v>173</v>
      </c>
      <c r="M136" s="65" t="s">
        <v>174</v>
      </c>
      <c r="N136" s="65">
        <v>4674.2</v>
      </c>
    </row>
    <row r="137" spans="8:9" s="65" customFormat="1" ht="12.75">
      <c r="H137" s="65" t="s">
        <v>175</v>
      </c>
      <c r="I137" s="65" t="s">
        <v>176</v>
      </c>
    </row>
    <row r="138" spans="8:13" s="65" customFormat="1" ht="12.75">
      <c r="H138" s="65" t="s">
        <v>170</v>
      </c>
      <c r="I138" s="65" t="s">
        <v>177</v>
      </c>
      <c r="M138" s="65" t="s">
        <v>178</v>
      </c>
    </row>
    <row r="139" spans="9:13" s="65" customFormat="1" ht="12.75">
      <c r="I139" s="65" t="s">
        <v>179</v>
      </c>
      <c r="M139" s="65" t="s">
        <v>158</v>
      </c>
    </row>
    <row r="140" s="65" customFormat="1" ht="12.75">
      <c r="M140" s="73" t="s">
        <v>166</v>
      </c>
    </row>
    <row r="141" spans="1:14" s="65" customFormat="1" ht="12.75">
      <c r="A141" s="65" t="s">
        <v>180</v>
      </c>
      <c r="B141" s="65" t="s">
        <v>181</v>
      </c>
      <c r="D141" s="65" t="s">
        <v>182</v>
      </c>
      <c r="M141" s="65" t="s">
        <v>174</v>
      </c>
      <c r="N141" s="65">
        <v>1113.3</v>
      </c>
    </row>
    <row r="142" spans="2:4" s="65" customFormat="1" ht="12.75">
      <c r="B142" s="65" t="s">
        <v>183</v>
      </c>
      <c r="D142" s="65" t="s">
        <v>184</v>
      </c>
    </row>
    <row r="143" spans="2:13" s="65" customFormat="1" ht="12.75">
      <c r="B143" s="65" t="s">
        <v>185</v>
      </c>
      <c r="D143" s="65" t="s">
        <v>186</v>
      </c>
      <c r="M143" s="65" t="s">
        <v>187</v>
      </c>
    </row>
    <row r="144" spans="2:13" s="65" customFormat="1" ht="12.75">
      <c r="B144" s="65" t="s">
        <v>188</v>
      </c>
      <c r="D144" s="65" t="s">
        <v>189</v>
      </c>
      <c r="M144" s="65" t="s">
        <v>158</v>
      </c>
    </row>
    <row r="145" spans="2:13" s="65" customFormat="1" ht="12.75">
      <c r="B145" s="65" t="s">
        <v>190</v>
      </c>
      <c r="M145" s="73" t="s">
        <v>166</v>
      </c>
    </row>
    <row r="146" spans="4:14" s="65" customFormat="1" ht="12.75">
      <c r="D146" s="65" t="s">
        <v>191</v>
      </c>
      <c r="M146" s="65" t="s">
        <v>174</v>
      </c>
      <c r="N146" s="65">
        <v>1002</v>
      </c>
    </row>
    <row r="147" spans="4:6" s="65" customFormat="1" ht="12.75">
      <c r="D147" s="65" t="s">
        <v>192</v>
      </c>
      <c r="F147" s="65" t="s">
        <v>193</v>
      </c>
    </row>
    <row r="148" spans="4:13" s="65" customFormat="1" ht="12.75">
      <c r="D148" s="65" t="s">
        <v>158</v>
      </c>
      <c r="F148" s="65" t="s">
        <v>194</v>
      </c>
      <c r="H148" s="65">
        <v>0.0687</v>
      </c>
      <c r="I148" s="65">
        <v>0</v>
      </c>
      <c r="K148" s="65">
        <f>N139/1000*H148</f>
        <v>0</v>
      </c>
      <c r="M148" s="65" t="s">
        <v>195</v>
      </c>
    </row>
    <row r="149" spans="4:13" s="65" customFormat="1" ht="12.75">
      <c r="D149" s="65" t="s">
        <v>196</v>
      </c>
      <c r="F149" s="65" t="s">
        <v>197</v>
      </c>
      <c r="H149" s="65">
        <v>0.0763</v>
      </c>
      <c r="I149" s="65">
        <v>0</v>
      </c>
      <c r="K149" s="65">
        <f>N140/1000*H149</f>
        <v>0</v>
      </c>
      <c r="M149" s="65" t="s">
        <v>158</v>
      </c>
    </row>
    <row r="150" spans="4:13" s="65" customFormat="1" ht="12.75">
      <c r="D150" s="65" t="s">
        <v>198</v>
      </c>
      <c r="F150" s="65" t="s">
        <v>199</v>
      </c>
      <c r="H150" s="65">
        <v>0.0839</v>
      </c>
      <c r="I150" s="65">
        <v>0</v>
      </c>
      <c r="K150" s="69">
        <f>N141/1000*H150</f>
        <v>0.09340587</v>
      </c>
      <c r="M150" s="73" t="s">
        <v>166</v>
      </c>
    </row>
    <row r="151" spans="6:13" s="65" customFormat="1" ht="12.75">
      <c r="F151" s="65" t="s">
        <v>200</v>
      </c>
      <c r="M151" s="65" t="s">
        <v>174</v>
      </c>
    </row>
    <row r="152" s="65" customFormat="1" ht="12.75">
      <c r="F152" s="65" t="s">
        <v>190</v>
      </c>
    </row>
    <row r="153" spans="5:9" s="65" customFormat="1" ht="12.75">
      <c r="E153" s="65" t="s">
        <v>201</v>
      </c>
      <c r="I153" s="65">
        <v>0</v>
      </c>
    </row>
    <row r="154" spans="2:4" s="65" customFormat="1" ht="12.75">
      <c r="B154" s="65" t="s">
        <v>202</v>
      </c>
      <c r="D154" s="65" t="s">
        <v>203</v>
      </c>
    </row>
    <row r="155" s="65" customFormat="1" ht="12.75">
      <c r="D155" s="65" t="s">
        <v>204</v>
      </c>
    </row>
    <row r="156" s="65" customFormat="1" ht="12.75">
      <c r="D156" s="65" t="s">
        <v>205</v>
      </c>
    </row>
    <row r="157" s="65" customFormat="1" ht="12.75">
      <c r="D157" s="65" t="s">
        <v>191</v>
      </c>
    </row>
    <row r="158" spans="4:11" s="65" customFormat="1" ht="12.75">
      <c r="D158" s="65" t="s">
        <v>158</v>
      </c>
      <c r="H158" s="65">
        <v>0.00338</v>
      </c>
      <c r="K158" s="69">
        <f>N162/1000*H158</f>
        <v>0</v>
      </c>
    </row>
    <row r="159" spans="4:11" s="65" customFormat="1" ht="12.75">
      <c r="D159" s="65" t="s">
        <v>196</v>
      </c>
      <c r="H159" s="65">
        <v>0.00376</v>
      </c>
      <c r="K159" s="69">
        <f>N163/1000*H159</f>
        <v>0</v>
      </c>
    </row>
    <row r="160" spans="4:11" s="65" customFormat="1" ht="12.75">
      <c r="D160" s="65" t="s">
        <v>198</v>
      </c>
      <c r="H160" s="65">
        <v>0.00414</v>
      </c>
      <c r="K160" s="69">
        <f>N164/1000*H160</f>
        <v>0.019351188</v>
      </c>
    </row>
    <row r="161" s="65" customFormat="1" ht="12.75">
      <c r="M161" s="65" t="s">
        <v>206</v>
      </c>
    </row>
    <row r="162" spans="1:13" s="65" customFormat="1" ht="12.75">
      <c r="A162" s="65" t="s">
        <v>207</v>
      </c>
      <c r="B162" s="65" t="s">
        <v>208</v>
      </c>
      <c r="D162" s="65" t="s">
        <v>203</v>
      </c>
      <c r="M162" s="65" t="s">
        <v>158</v>
      </c>
    </row>
    <row r="163" spans="4:13" s="65" customFormat="1" ht="12.75">
      <c r="D163" s="65" t="s">
        <v>209</v>
      </c>
      <c r="M163" s="73" t="s">
        <v>166</v>
      </c>
    </row>
    <row r="164" spans="4:14" s="65" customFormat="1" ht="12.75">
      <c r="D164" s="65" t="s">
        <v>191</v>
      </c>
      <c r="M164" s="65" t="s">
        <v>174</v>
      </c>
      <c r="N164" s="65">
        <f>N136</f>
        <v>4674.2</v>
      </c>
    </row>
    <row r="165" spans="4:11" s="65" customFormat="1" ht="12.75">
      <c r="D165" s="65" t="s">
        <v>158</v>
      </c>
      <c r="H165" s="65">
        <v>0.02043</v>
      </c>
      <c r="I165" s="65">
        <v>0</v>
      </c>
      <c r="K165" s="65">
        <f>N149/1000*H165</f>
        <v>0</v>
      </c>
    </row>
    <row r="166" spans="4:13" s="65" customFormat="1" ht="12.75">
      <c r="D166" s="65" t="s">
        <v>196</v>
      </c>
      <c r="H166" s="65">
        <v>0.0227</v>
      </c>
      <c r="I166" s="65">
        <v>0</v>
      </c>
      <c r="K166" s="65">
        <f>N150/1000*H166</f>
        <v>0</v>
      </c>
      <c r="M166" s="65" t="s">
        <v>210</v>
      </c>
    </row>
    <row r="167" spans="4:13" s="65" customFormat="1" ht="12.75">
      <c r="D167" s="65" t="s">
        <v>198</v>
      </c>
      <c r="H167" s="65">
        <v>0.02497</v>
      </c>
      <c r="I167" s="65">
        <v>0</v>
      </c>
      <c r="K167" s="65">
        <f>N151/1000*H167</f>
        <v>0</v>
      </c>
      <c r="M167" s="65" t="s">
        <v>158</v>
      </c>
    </row>
    <row r="168" spans="4:13" s="65" customFormat="1" ht="12.75">
      <c r="D168" s="65" t="s">
        <v>211</v>
      </c>
      <c r="M168" s="73" t="s">
        <v>166</v>
      </c>
    </row>
    <row r="169" spans="4:14" s="65" customFormat="1" ht="12.75">
      <c r="D169" s="65" t="s">
        <v>191</v>
      </c>
      <c r="M169" s="65" t="s">
        <v>174</v>
      </c>
      <c r="N169" s="65">
        <v>90</v>
      </c>
    </row>
    <row r="170" spans="4:6" s="65" customFormat="1" ht="12.75">
      <c r="D170" s="65" t="s">
        <v>192</v>
      </c>
      <c r="F170" s="65" t="s">
        <v>193</v>
      </c>
    </row>
    <row r="171" spans="4:11" s="65" customFormat="1" ht="12.75">
      <c r="D171" s="65" t="s">
        <v>158</v>
      </c>
      <c r="H171" s="65">
        <v>0.00999</v>
      </c>
      <c r="K171" s="69">
        <f>N134/1000*H171</f>
        <v>0</v>
      </c>
    </row>
    <row r="172" spans="4:11" s="65" customFormat="1" ht="12.75">
      <c r="D172" s="65" t="s">
        <v>196</v>
      </c>
      <c r="H172" s="65">
        <v>0.0111</v>
      </c>
      <c r="K172" s="69">
        <f>N135/1000*H172</f>
        <v>0</v>
      </c>
    </row>
    <row r="173" spans="4:11" s="65" customFormat="1" ht="12.75">
      <c r="D173" s="65" t="s">
        <v>198</v>
      </c>
      <c r="H173" s="65">
        <v>0.01221</v>
      </c>
      <c r="I173" s="65">
        <v>0</v>
      </c>
      <c r="K173" s="69">
        <f>N136/1000*H173</f>
        <v>0.057071982</v>
      </c>
    </row>
    <row r="174" s="65" customFormat="1" ht="12.75">
      <c r="I174" s="65">
        <v>0</v>
      </c>
    </row>
    <row r="175" spans="5:9" s="65" customFormat="1" ht="12.75">
      <c r="E175" s="65" t="s">
        <v>201</v>
      </c>
      <c r="G175" s="65">
        <v>0</v>
      </c>
      <c r="I175" s="65">
        <v>0</v>
      </c>
    </row>
    <row r="176" spans="1:6" s="65" customFormat="1" ht="12.75">
      <c r="A176" s="65" t="s">
        <v>212</v>
      </c>
      <c r="B176" s="65" t="s">
        <v>213</v>
      </c>
      <c r="D176" s="65" t="s">
        <v>203</v>
      </c>
      <c r="F176" s="65" t="s">
        <v>193</v>
      </c>
    </row>
    <row r="177" spans="2:6" s="65" customFormat="1" ht="12.75">
      <c r="B177" s="65" t="s">
        <v>214</v>
      </c>
      <c r="D177" s="65" t="s">
        <v>209</v>
      </c>
      <c r="F177" s="65" t="s">
        <v>215</v>
      </c>
    </row>
    <row r="178" spans="4:6" s="65" customFormat="1" ht="12.75">
      <c r="D178" s="65" t="s">
        <v>191</v>
      </c>
      <c r="F178" s="65" t="s">
        <v>216</v>
      </c>
    </row>
    <row r="179" spans="4:11" s="65" customFormat="1" ht="12.75">
      <c r="D179" s="65" t="s">
        <v>158</v>
      </c>
      <c r="H179" s="65">
        <v>0.018432</v>
      </c>
      <c r="I179" s="65">
        <v>0</v>
      </c>
      <c r="K179" s="65">
        <f>N149/1000*H179</f>
        <v>0</v>
      </c>
    </row>
    <row r="180" spans="4:11" s="65" customFormat="1" ht="12.75">
      <c r="D180" s="65" t="s">
        <v>196</v>
      </c>
      <c r="H180" s="65">
        <v>0.02048</v>
      </c>
      <c r="I180" s="65">
        <v>0</v>
      </c>
      <c r="K180" s="65">
        <f>N150/1000*H180</f>
        <v>0</v>
      </c>
    </row>
    <row r="181" spans="4:11" s="65" customFormat="1" ht="12.75">
      <c r="D181" s="65" t="s">
        <v>198</v>
      </c>
      <c r="K181" s="65">
        <f>N151/1000*H181</f>
        <v>0</v>
      </c>
    </row>
    <row r="182" s="65" customFormat="1" ht="12.75">
      <c r="D182" s="65" t="s">
        <v>211</v>
      </c>
    </row>
    <row r="183" s="65" customFormat="1" ht="12.75">
      <c r="D183" s="65" t="s">
        <v>191</v>
      </c>
    </row>
    <row r="184" s="65" customFormat="1" ht="12.75">
      <c r="D184" s="65" t="s">
        <v>192</v>
      </c>
    </row>
    <row r="185" spans="4:11" s="65" customFormat="1" ht="12.75">
      <c r="D185" s="65" t="s">
        <v>158</v>
      </c>
      <c r="K185" s="69">
        <f>N134/1000*H185</f>
        <v>0</v>
      </c>
    </row>
    <row r="186" spans="4:11" s="65" customFormat="1" ht="12.75">
      <c r="D186" s="65" t="s">
        <v>196</v>
      </c>
      <c r="H186" s="65">
        <v>0.02295</v>
      </c>
      <c r="I186" s="65">
        <v>0</v>
      </c>
      <c r="K186" s="69">
        <f>N135/1000*H186</f>
        <v>0</v>
      </c>
    </row>
    <row r="187" spans="4:11" s="65" customFormat="1" ht="12.75">
      <c r="D187" s="65" t="s">
        <v>198</v>
      </c>
      <c r="H187" s="65">
        <v>0.025245</v>
      </c>
      <c r="I187" s="65">
        <v>0</v>
      </c>
      <c r="K187" s="69">
        <f>N136/1000*H187</f>
        <v>0.118000179</v>
      </c>
    </row>
    <row r="188" spans="5:11" s="65" customFormat="1" ht="12.75">
      <c r="E188" s="65" t="s">
        <v>201</v>
      </c>
      <c r="G188" s="65">
        <v>0</v>
      </c>
      <c r="I188" s="65">
        <v>0</v>
      </c>
      <c r="K188" s="69"/>
    </row>
    <row r="189" s="65" customFormat="1" ht="12.75">
      <c r="K189" s="69"/>
    </row>
    <row r="190" spans="1:11" s="65" customFormat="1" ht="12.75">
      <c r="A190" s="65" t="s">
        <v>217</v>
      </c>
      <c r="B190" s="65" t="s">
        <v>218</v>
      </c>
      <c r="D190" s="65" t="s">
        <v>203</v>
      </c>
      <c r="K190" s="69"/>
    </row>
    <row r="191" spans="4:11" s="65" customFormat="1" ht="12.75">
      <c r="D191" s="65" t="s">
        <v>209</v>
      </c>
      <c r="K191" s="69"/>
    </row>
    <row r="192" spans="4:11" s="65" customFormat="1" ht="12.75">
      <c r="D192" s="65" t="s">
        <v>191</v>
      </c>
      <c r="K192" s="69"/>
    </row>
    <row r="193" spans="4:11" s="65" customFormat="1" ht="12.75">
      <c r="D193" s="65" t="s">
        <v>158</v>
      </c>
      <c r="H193" s="65">
        <v>0.027585</v>
      </c>
      <c r="I193" s="65">
        <v>0</v>
      </c>
      <c r="K193" s="69">
        <f>N149/1000*H193</f>
        <v>0</v>
      </c>
    </row>
    <row r="194" spans="4:11" s="65" customFormat="1" ht="12.75">
      <c r="D194" s="65" t="s">
        <v>196</v>
      </c>
      <c r="H194" s="65">
        <v>0.3065</v>
      </c>
      <c r="I194" s="65">
        <v>0</v>
      </c>
      <c r="K194" s="69">
        <f>N150/1000*H194</f>
        <v>0</v>
      </c>
    </row>
    <row r="195" spans="4:11" s="65" customFormat="1" ht="12.75">
      <c r="D195" s="65" t="s">
        <v>198</v>
      </c>
      <c r="K195" s="69">
        <f>N151/1000*H195</f>
        <v>0</v>
      </c>
    </row>
    <row r="196" spans="4:11" s="65" customFormat="1" ht="12.75">
      <c r="D196" s="65" t="s">
        <v>211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192</v>
      </c>
      <c r="K198" s="69"/>
    </row>
    <row r="199" spans="4:11" s="65" customFormat="1" ht="12.75">
      <c r="D199" s="65" t="s">
        <v>158</v>
      </c>
      <c r="K199" s="69">
        <f>N134/1000*H199</f>
        <v>0</v>
      </c>
    </row>
    <row r="200" spans="4:11" s="65" customFormat="1" ht="12.75">
      <c r="D200" s="65" t="s">
        <v>196</v>
      </c>
      <c r="H200" s="65">
        <v>0.00539</v>
      </c>
      <c r="I200" s="65">
        <v>0</v>
      </c>
      <c r="K200" s="69">
        <f>N135/1000*H200</f>
        <v>0</v>
      </c>
    </row>
    <row r="201" spans="4:11" s="65" customFormat="1" ht="12.75">
      <c r="D201" s="65" t="s">
        <v>198</v>
      </c>
      <c r="H201" s="65">
        <v>0.005929</v>
      </c>
      <c r="I201" s="65">
        <v>0</v>
      </c>
      <c r="K201" s="69">
        <f>N136/1000*H201</f>
        <v>0.0277133318</v>
      </c>
    </row>
    <row r="202" spans="5:11" s="65" customFormat="1" ht="12.75">
      <c r="E202" s="65" t="s">
        <v>201</v>
      </c>
      <c r="G202" s="65">
        <v>0</v>
      </c>
      <c r="I202" s="65">
        <v>0</v>
      </c>
      <c r="K202" s="69"/>
    </row>
    <row r="203" s="65" customFormat="1" ht="12.75">
      <c r="K203" s="69"/>
    </row>
    <row r="204" spans="1:11" s="65" customFormat="1" ht="12.75">
      <c r="A204" s="65" t="s">
        <v>219</v>
      </c>
      <c r="B204" s="65" t="s">
        <v>220</v>
      </c>
      <c r="D204" s="65" t="s">
        <v>203</v>
      </c>
      <c r="K204" s="69"/>
    </row>
    <row r="205" spans="2:11" s="65" customFormat="1" ht="12.75">
      <c r="B205" s="65" t="s">
        <v>214</v>
      </c>
      <c r="D205" s="65" t="s">
        <v>209</v>
      </c>
      <c r="K205" s="69"/>
    </row>
    <row r="206" spans="4:11" s="65" customFormat="1" ht="12.75">
      <c r="D206" s="65" t="s">
        <v>191</v>
      </c>
      <c r="K206" s="69"/>
    </row>
    <row r="207" spans="4:11" s="65" customFormat="1" ht="12.75">
      <c r="D207" s="65" t="s">
        <v>158</v>
      </c>
      <c r="H207" s="65">
        <v>0.022437</v>
      </c>
      <c r="I207" s="65">
        <v>0</v>
      </c>
      <c r="K207" s="69">
        <f>N149/1000*H207</f>
        <v>0</v>
      </c>
    </row>
    <row r="208" spans="4:11" s="65" customFormat="1" ht="12.75">
      <c r="D208" s="65" t="s">
        <v>196</v>
      </c>
      <c r="H208" s="65">
        <v>0.02493</v>
      </c>
      <c r="I208" s="65">
        <v>0</v>
      </c>
      <c r="K208" s="69">
        <f>N150/1000*H208</f>
        <v>0</v>
      </c>
    </row>
    <row r="209" spans="4:11" s="65" customFormat="1" ht="12.75">
      <c r="D209" s="65" t="s">
        <v>198</v>
      </c>
      <c r="K209" s="65">
        <f>N151/1000*H209</f>
        <v>0</v>
      </c>
    </row>
    <row r="210" s="65" customFormat="1" ht="12.75">
      <c r="D210" s="65" t="s">
        <v>211</v>
      </c>
    </row>
    <row r="211" s="65" customFormat="1" ht="12.75">
      <c r="D211" s="65" t="s">
        <v>191</v>
      </c>
    </row>
    <row r="212" s="65" customFormat="1" ht="12.75">
      <c r="D212" s="65" t="s">
        <v>192</v>
      </c>
    </row>
    <row r="213" spans="4:11" s="65" customFormat="1" ht="12.75">
      <c r="D213" s="65" t="s">
        <v>158</v>
      </c>
      <c r="K213" s="69">
        <f>N134/1000*H213</f>
        <v>0</v>
      </c>
    </row>
    <row r="214" spans="4:11" s="65" customFormat="1" ht="12.75">
      <c r="D214" s="65" t="s">
        <v>196</v>
      </c>
      <c r="H214" s="65">
        <v>0.00888</v>
      </c>
      <c r="I214" s="65">
        <v>0</v>
      </c>
      <c r="K214" s="69">
        <f>N135/1000*H214</f>
        <v>0</v>
      </c>
    </row>
    <row r="215" spans="4:11" s="65" customFormat="1" ht="12.75">
      <c r="D215" s="65" t="s">
        <v>198</v>
      </c>
      <c r="H215" s="65">
        <v>0.009768</v>
      </c>
      <c r="I215" s="65">
        <v>0</v>
      </c>
      <c r="K215" s="69">
        <f>N136/1000*H215</f>
        <v>0.0456575856</v>
      </c>
    </row>
    <row r="216" spans="5:11" s="65" customFormat="1" ht="12.75">
      <c r="E216" s="65" t="s">
        <v>201</v>
      </c>
      <c r="G216" s="65">
        <v>0</v>
      </c>
      <c r="I216" s="65">
        <v>0</v>
      </c>
      <c r="K216" s="69"/>
    </row>
    <row r="217" s="65" customFormat="1" ht="12.75">
      <c r="K217" s="69"/>
    </row>
    <row r="218" spans="2:4" s="65" customFormat="1" ht="12.75">
      <c r="B218" s="65" t="s">
        <v>221</v>
      </c>
      <c r="D218" s="65" t="s">
        <v>203</v>
      </c>
    </row>
    <row r="219" s="65" customFormat="1" ht="12.75">
      <c r="D219" s="65" t="s">
        <v>204</v>
      </c>
    </row>
    <row r="220" s="65" customFormat="1" ht="12.75">
      <c r="D220" s="65" t="s">
        <v>205</v>
      </c>
    </row>
    <row r="221" s="65" customFormat="1" ht="12.75">
      <c r="D221" s="65" t="s">
        <v>191</v>
      </c>
    </row>
    <row r="222" spans="4:11" s="65" customFormat="1" ht="12.75">
      <c r="D222" s="65" t="s">
        <v>158</v>
      </c>
      <c r="H222" s="65">
        <v>0.0243</v>
      </c>
      <c r="K222" s="69">
        <f>N162/1000*H222</f>
        <v>0</v>
      </c>
    </row>
    <row r="223" spans="4:11" s="65" customFormat="1" ht="12.75">
      <c r="D223" s="65" t="s">
        <v>196</v>
      </c>
      <c r="H223" s="65">
        <v>0.027</v>
      </c>
      <c r="K223" s="69">
        <f>N163/1000*H223</f>
        <v>0</v>
      </c>
    </row>
    <row r="224" spans="4:11" s="65" customFormat="1" ht="12.75">
      <c r="D224" s="65" t="s">
        <v>198</v>
      </c>
      <c r="H224" s="65">
        <v>0.0297</v>
      </c>
      <c r="K224" s="69">
        <f>N164/1000*H224</f>
        <v>0.13882374</v>
      </c>
    </row>
    <row r="225" spans="1:11" s="65" customFormat="1" ht="12.75">
      <c r="A225" s="65" t="s">
        <v>222</v>
      </c>
      <c r="B225" s="65" t="s">
        <v>223</v>
      </c>
      <c r="D225" s="65" t="s">
        <v>203</v>
      </c>
      <c r="K225" s="69"/>
    </row>
    <row r="226" spans="4:11" s="65" customFormat="1" ht="12.75">
      <c r="D226" s="65" t="s">
        <v>209</v>
      </c>
      <c r="K226" s="69"/>
    </row>
    <row r="227" spans="4:11" s="65" customFormat="1" ht="12.75">
      <c r="D227" s="65" t="s">
        <v>191</v>
      </c>
      <c r="K227" s="69"/>
    </row>
    <row r="228" spans="4:11" s="65" customFormat="1" ht="12.75">
      <c r="D228" s="65" t="s">
        <v>158</v>
      </c>
      <c r="H228" s="65">
        <v>0.01773</v>
      </c>
      <c r="I228" s="65">
        <v>0</v>
      </c>
      <c r="K228" s="69">
        <f>N149/1000*H228</f>
        <v>0</v>
      </c>
    </row>
    <row r="229" spans="4:11" s="65" customFormat="1" ht="12.75">
      <c r="D229" s="65" t="s">
        <v>196</v>
      </c>
      <c r="H229" s="65">
        <v>0.0197</v>
      </c>
      <c r="I229" s="65">
        <v>0</v>
      </c>
      <c r="K229" s="69">
        <f>N150/1000*H229</f>
        <v>0</v>
      </c>
    </row>
    <row r="230" spans="4:11" s="65" customFormat="1" ht="12.75">
      <c r="D230" s="65" t="s">
        <v>198</v>
      </c>
      <c r="K230" s="69">
        <f>N151/1000*H230</f>
        <v>0</v>
      </c>
    </row>
    <row r="231" spans="4:11" s="65" customFormat="1" ht="12.75">
      <c r="D231" s="65" t="s">
        <v>211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192</v>
      </c>
      <c r="K233" s="69"/>
    </row>
    <row r="234" spans="4:11" s="65" customFormat="1" ht="12.75">
      <c r="D234" s="65" t="s">
        <v>158</v>
      </c>
      <c r="K234" s="69">
        <f>N134/1000*H234</f>
        <v>0</v>
      </c>
    </row>
    <row r="235" spans="4:11" s="65" customFormat="1" ht="12.75">
      <c r="D235" s="65" t="s">
        <v>196</v>
      </c>
      <c r="H235" s="65">
        <v>0.0018</v>
      </c>
      <c r="I235" s="65">
        <v>0</v>
      </c>
      <c r="K235" s="69">
        <f>N135/1000*H235</f>
        <v>0</v>
      </c>
    </row>
    <row r="236" spans="4:11" s="65" customFormat="1" ht="12.75">
      <c r="D236" s="65" t="s">
        <v>198</v>
      </c>
      <c r="H236" s="65">
        <v>0.00198</v>
      </c>
      <c r="I236" s="65">
        <v>0</v>
      </c>
      <c r="K236" s="69">
        <f>N136/1000*H236</f>
        <v>0.009254916</v>
      </c>
    </row>
    <row r="237" spans="5:11" s="65" customFormat="1" ht="12.75">
      <c r="E237" s="65" t="s">
        <v>201</v>
      </c>
      <c r="G237" s="65">
        <v>0</v>
      </c>
      <c r="I237" s="65">
        <v>0</v>
      </c>
      <c r="K237" s="69"/>
    </row>
    <row r="238" s="65" customFormat="1" ht="12.75">
      <c r="K238" s="69"/>
    </row>
    <row r="239" spans="2:7" s="65" customFormat="1" ht="12.75">
      <c r="B239" s="65" t="s">
        <v>224</v>
      </c>
      <c r="D239" s="65" t="s">
        <v>203</v>
      </c>
      <c r="G239" s="65" t="s">
        <v>225</v>
      </c>
    </row>
    <row r="240" spans="4:7" s="65" customFormat="1" ht="12.75">
      <c r="D240" s="65" t="s">
        <v>204</v>
      </c>
      <c r="G240" s="65" t="s">
        <v>226</v>
      </c>
    </row>
    <row r="241" spans="4:7" s="65" customFormat="1" ht="12.75">
      <c r="D241" s="65" t="s">
        <v>205</v>
      </c>
      <c r="G241" s="65" t="s">
        <v>227</v>
      </c>
    </row>
    <row r="242" s="65" customFormat="1" ht="12.75">
      <c r="D242" s="65" t="s">
        <v>191</v>
      </c>
    </row>
    <row r="243" spans="4:11" s="65" customFormat="1" ht="12.75">
      <c r="D243" s="65" t="s">
        <v>158</v>
      </c>
      <c r="H243" s="65">
        <v>0.02367</v>
      </c>
      <c r="K243" s="69">
        <f>N144/1000*H243</f>
        <v>0</v>
      </c>
    </row>
    <row r="244" spans="4:11" s="65" customFormat="1" ht="12.75">
      <c r="D244" s="65" t="s">
        <v>196</v>
      </c>
      <c r="H244" s="65">
        <v>0.0263</v>
      </c>
      <c r="K244" s="69">
        <f>N145/1000*H244</f>
        <v>0</v>
      </c>
    </row>
    <row r="245" spans="4:11" s="65" customFormat="1" ht="12.75">
      <c r="D245" s="65" t="s">
        <v>198</v>
      </c>
      <c r="H245" s="65">
        <v>0.02893</v>
      </c>
      <c r="K245" s="69">
        <f>N146/1000*H245</f>
        <v>0.02898786</v>
      </c>
    </row>
    <row r="246" s="65" customFormat="1" ht="12.75">
      <c r="K246" s="69"/>
    </row>
    <row r="247" spans="1:11" s="65" customFormat="1" ht="12.75">
      <c r="A247" s="65" t="s">
        <v>228</v>
      </c>
      <c r="B247" s="65" t="s">
        <v>229</v>
      </c>
      <c r="D247" s="65" t="s">
        <v>203</v>
      </c>
      <c r="K247" s="69"/>
    </row>
    <row r="248" spans="2:11" s="65" customFormat="1" ht="12.75">
      <c r="B248" s="65" t="s">
        <v>230</v>
      </c>
      <c r="D248" s="65" t="s">
        <v>209</v>
      </c>
      <c r="K248" s="69"/>
    </row>
    <row r="249" spans="4:11" s="65" customFormat="1" ht="12.75">
      <c r="D249" s="65" t="s">
        <v>191</v>
      </c>
      <c r="K249" s="69"/>
    </row>
    <row r="250" spans="4:11" s="65" customFormat="1" ht="12.75">
      <c r="D250" s="65" t="s">
        <v>158</v>
      </c>
      <c r="H250" s="65">
        <v>0.014679</v>
      </c>
      <c r="I250" s="65">
        <v>0</v>
      </c>
      <c r="K250" s="69">
        <f>N149/1000*H250</f>
        <v>0</v>
      </c>
    </row>
    <row r="251" spans="4:11" s="65" customFormat="1" ht="12.75">
      <c r="D251" s="65" t="s">
        <v>196</v>
      </c>
      <c r="H251" s="65">
        <v>0.01631</v>
      </c>
      <c r="I251" s="65">
        <v>0</v>
      </c>
      <c r="K251" s="69">
        <f>N150/1000*H251</f>
        <v>0</v>
      </c>
    </row>
    <row r="252" spans="4:11" s="65" customFormat="1" ht="12.75">
      <c r="D252" s="65" t="s">
        <v>198</v>
      </c>
      <c r="K252" s="69">
        <f>N151/1000*H252</f>
        <v>0</v>
      </c>
    </row>
    <row r="253" spans="4:11" s="65" customFormat="1" ht="12.75">
      <c r="D253" s="65" t="s">
        <v>211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192</v>
      </c>
      <c r="K255" s="69"/>
    </row>
    <row r="256" spans="4:11" s="65" customFormat="1" ht="12.75">
      <c r="D256" s="65" t="s">
        <v>158</v>
      </c>
      <c r="K256" s="69">
        <f>N134/1000*H256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N135/1000*H257</f>
        <v>0</v>
      </c>
    </row>
    <row r="258" spans="4:11" s="65" customFormat="1" ht="12.75">
      <c r="D258" s="65" t="s">
        <v>198</v>
      </c>
      <c r="H258" s="65">
        <v>0.017941</v>
      </c>
      <c r="I258" s="65">
        <v>0</v>
      </c>
      <c r="K258" s="69">
        <f>N136/1000*H258</f>
        <v>0.08385982219999999</v>
      </c>
    </row>
    <row r="259" spans="5:11" s="65" customFormat="1" ht="12.75">
      <c r="E259" s="65" t="s">
        <v>201</v>
      </c>
      <c r="G259" s="65">
        <v>0</v>
      </c>
      <c r="I259" s="65">
        <v>0</v>
      </c>
      <c r="K259" s="69"/>
    </row>
    <row r="260" s="65" customFormat="1" ht="12.75">
      <c r="K260" s="69"/>
    </row>
    <row r="261" spans="1:11" s="65" customFormat="1" ht="12.75">
      <c r="A261" s="65" t="s">
        <v>231</v>
      </c>
      <c r="B261" s="65" t="s">
        <v>232</v>
      </c>
      <c r="D261" s="65" t="s">
        <v>203</v>
      </c>
      <c r="K261" s="69"/>
    </row>
    <row r="262" spans="2:11" s="65" customFormat="1" ht="12.75">
      <c r="B262" s="65" t="s">
        <v>233</v>
      </c>
      <c r="D262" s="65" t="s">
        <v>211</v>
      </c>
      <c r="K262" s="69"/>
    </row>
    <row r="263" spans="4:11" s="65" customFormat="1" ht="12.75">
      <c r="D263" s="65" t="s">
        <v>209</v>
      </c>
      <c r="K263" s="69"/>
    </row>
    <row r="264" spans="4:11" s="65" customFormat="1" ht="12.75">
      <c r="D264" s="65" t="s">
        <v>234</v>
      </c>
      <c r="K264" s="69"/>
    </row>
    <row r="265" spans="4:11" s="65" customFormat="1" ht="12.75">
      <c r="D265" s="65" t="s">
        <v>235</v>
      </c>
      <c r="F265" s="65" t="s">
        <v>236</v>
      </c>
      <c r="K265" s="69"/>
    </row>
    <row r="266" spans="4:11" s="65" customFormat="1" ht="12.75">
      <c r="D266" s="65" t="s">
        <v>191</v>
      </c>
      <c r="F266" s="65" t="s">
        <v>237</v>
      </c>
      <c r="K266" s="69"/>
    </row>
    <row r="267" spans="4:11" s="65" customFormat="1" ht="12.75">
      <c r="D267" s="65" t="s">
        <v>158</v>
      </c>
      <c r="H267" s="65">
        <v>41000</v>
      </c>
      <c r="I267" s="65">
        <v>0</v>
      </c>
      <c r="K267" s="69">
        <f>N162/H267</f>
        <v>0</v>
      </c>
    </row>
    <row r="268" spans="4:11" s="65" customFormat="1" ht="12.75">
      <c r="D268" s="65" t="s">
        <v>196</v>
      </c>
      <c r="H268" s="65">
        <v>39000</v>
      </c>
      <c r="I268" s="65">
        <v>0</v>
      </c>
      <c r="K268" s="69">
        <f>N163/H268</f>
        <v>0</v>
      </c>
    </row>
    <row r="269" spans="4:11" s="65" customFormat="1" ht="12.75">
      <c r="D269" s="65" t="s">
        <v>198</v>
      </c>
      <c r="H269" s="65">
        <v>37000</v>
      </c>
      <c r="I269" s="65">
        <v>0</v>
      </c>
      <c r="K269" s="69">
        <f>N164/H269</f>
        <v>0.12632972972972972</v>
      </c>
    </row>
    <row r="270" s="65" customFormat="1" ht="12.75">
      <c r="K270" s="69"/>
    </row>
    <row r="271" spans="4:11" s="65" customFormat="1" ht="12.75">
      <c r="D271" s="65" t="s">
        <v>238</v>
      </c>
      <c r="K271" s="69"/>
    </row>
    <row r="272" spans="4:11" s="65" customFormat="1" ht="12.75">
      <c r="D272" s="65" t="s">
        <v>239</v>
      </c>
      <c r="F272" s="65" t="s">
        <v>240</v>
      </c>
      <c r="K272" s="69"/>
    </row>
    <row r="273" spans="4:11" s="65" customFormat="1" ht="12.75">
      <c r="D273" s="65" t="s">
        <v>191</v>
      </c>
      <c r="K273" s="69"/>
    </row>
    <row r="274" spans="4:11" s="65" customFormat="1" ht="12.75">
      <c r="D274" s="65" t="s">
        <v>158</v>
      </c>
      <c r="H274" s="65">
        <v>450</v>
      </c>
      <c r="I274" s="65">
        <v>0</v>
      </c>
      <c r="K274" s="69">
        <f>N167/H274</f>
        <v>0</v>
      </c>
    </row>
    <row r="275" spans="4:11" s="65" customFormat="1" ht="12.75">
      <c r="D275" s="65" t="s">
        <v>196</v>
      </c>
      <c r="H275" s="65">
        <v>375</v>
      </c>
      <c r="I275" s="65">
        <v>0</v>
      </c>
      <c r="K275" s="69">
        <f>N168/H275</f>
        <v>0</v>
      </c>
    </row>
    <row r="276" spans="4:11" s="65" customFormat="1" ht="12.75">
      <c r="D276" s="65" t="s">
        <v>198</v>
      </c>
      <c r="H276" s="65">
        <v>310</v>
      </c>
      <c r="I276" s="65">
        <v>0</v>
      </c>
      <c r="K276" s="69">
        <f>N169/H276</f>
        <v>0.2903225806451613</v>
      </c>
    </row>
    <row r="277" spans="5:11" s="65" customFormat="1" ht="12.75">
      <c r="E277" s="65" t="s">
        <v>201</v>
      </c>
      <c r="G277" s="65">
        <v>0</v>
      </c>
      <c r="I277" s="65">
        <v>0</v>
      </c>
      <c r="K277" s="69"/>
    </row>
    <row r="278" s="65" customFormat="1" ht="12.75">
      <c r="K278" s="69"/>
    </row>
    <row r="279" spans="1:11" s="65" customFormat="1" ht="12.75">
      <c r="A279" s="65" t="s">
        <v>241</v>
      </c>
      <c r="B279" s="65" t="s">
        <v>242</v>
      </c>
      <c r="D279" s="65" t="s">
        <v>243</v>
      </c>
      <c r="K279" s="69"/>
    </row>
    <row r="280" spans="4:11" s="65" customFormat="1" ht="12.75">
      <c r="D280" s="65" t="s">
        <v>244</v>
      </c>
      <c r="F280" s="65" t="s">
        <v>240</v>
      </c>
      <c r="K280" s="69"/>
    </row>
    <row r="281" spans="4:11" s="65" customFormat="1" ht="12.75">
      <c r="D281" s="65" t="s">
        <v>245</v>
      </c>
      <c r="K281" s="69"/>
    </row>
    <row r="282" spans="4:11" s="65" customFormat="1" ht="12.75">
      <c r="D282" s="65" t="s">
        <v>158</v>
      </c>
      <c r="H282" s="65">
        <v>2350</v>
      </c>
      <c r="I282" s="65">
        <v>0</v>
      </c>
      <c r="K282" s="69">
        <f>N167/H282</f>
        <v>0</v>
      </c>
    </row>
    <row r="283" spans="4:11" s="65" customFormat="1" ht="12.75">
      <c r="D283" s="65" t="s">
        <v>196</v>
      </c>
      <c r="H283" s="65">
        <v>2250</v>
      </c>
      <c r="I283" s="65">
        <v>0</v>
      </c>
      <c r="K283" s="69">
        <f>N168/H283</f>
        <v>0</v>
      </c>
    </row>
    <row r="284" spans="4:11" s="65" customFormat="1" ht="12.75">
      <c r="D284" s="65" t="s">
        <v>198</v>
      </c>
      <c r="H284" s="65">
        <v>2200</v>
      </c>
      <c r="I284" s="65">
        <v>0</v>
      </c>
      <c r="K284" s="69">
        <f>N169/H284</f>
        <v>0.04090909090909091</v>
      </c>
    </row>
    <row r="285" spans="5:11" s="65" customFormat="1" ht="12.75">
      <c r="E285" s="65" t="s">
        <v>201</v>
      </c>
      <c r="G285" s="65">
        <v>0</v>
      </c>
      <c r="I285" s="65">
        <v>0</v>
      </c>
      <c r="K285" s="69"/>
    </row>
    <row r="286" s="65" customFormat="1" ht="12.75">
      <c r="K286" s="69">
        <f>K148+K149+K150+K158+K159+K160+K165+K166+K167+K171+K172+K173+K179+K180+K181+K185+K186+K187+K193+K194+K195+K199+K200+K201+K207+K208+K209+K213+K214+K215+K222+K223+K224+K228+K229+K230+K234+K235+K236+K243+K244+K245+K250+K251+K252+K256+K257+K258+K267+K268+K269+K274+K275+K276+K282+K283+K284</f>
        <v>1.0796878758839819</v>
      </c>
    </row>
    <row r="287" spans="1:11" s="65" customFormat="1" ht="12.75">
      <c r="A287" s="65" t="s">
        <v>246</v>
      </c>
      <c r="B287" s="65" t="s">
        <v>247</v>
      </c>
      <c r="F287" s="65" t="s">
        <v>248</v>
      </c>
      <c r="I287" s="65">
        <v>1</v>
      </c>
      <c r="K287" s="69">
        <f>K286*1.12</f>
        <v>1.2092504209900599</v>
      </c>
    </row>
    <row r="288" s="65" customFormat="1" ht="12.75">
      <c r="B288" s="65" t="s">
        <v>249</v>
      </c>
    </row>
    <row r="289" s="65" customFormat="1" ht="12.75">
      <c r="B289" s="65" t="s">
        <v>250</v>
      </c>
    </row>
    <row r="290" s="65" customFormat="1" ht="12.75"/>
    <row r="291" spans="1:9" s="65" customFormat="1" ht="12.75">
      <c r="A291" s="65" t="s">
        <v>251</v>
      </c>
      <c r="B291" s="65" t="s">
        <v>252</v>
      </c>
      <c r="I291" s="65">
        <v>2</v>
      </c>
    </row>
    <row r="292" spans="1:9" s="65" customFormat="1" ht="12.75">
      <c r="A292" s="65" t="s">
        <v>253</v>
      </c>
      <c r="B292" s="65" t="s">
        <v>254</v>
      </c>
      <c r="I292" s="65">
        <v>1</v>
      </c>
    </row>
    <row r="293" spans="1:9" s="65" customFormat="1" ht="12.75">
      <c r="A293" s="65" t="s">
        <v>255</v>
      </c>
      <c r="B293" s="65" t="s">
        <v>256</v>
      </c>
      <c r="I293" s="65">
        <v>1</v>
      </c>
    </row>
    <row r="294" spans="2:9" s="65" customFormat="1" ht="12.75">
      <c r="B294" s="65" t="s">
        <v>257</v>
      </c>
      <c r="I294" s="65">
        <v>5</v>
      </c>
    </row>
    <row r="295" s="65" customFormat="1" ht="12.75">
      <c r="F295" s="65" t="s">
        <v>258</v>
      </c>
    </row>
    <row r="296" spans="1:9" s="65" customFormat="1" ht="12.75">
      <c r="A296" s="65" t="s">
        <v>259</v>
      </c>
      <c r="B296" s="65" t="s">
        <v>260</v>
      </c>
      <c r="E296" s="65" t="s">
        <v>261</v>
      </c>
      <c r="H296" s="65">
        <v>1200</v>
      </c>
      <c r="I296" s="65">
        <f>G296/H296</f>
        <v>0</v>
      </c>
    </row>
    <row r="297" spans="5:9" s="65" customFormat="1" ht="12.75">
      <c r="E297" s="65" t="s">
        <v>262</v>
      </c>
      <c r="G297" s="65">
        <v>823</v>
      </c>
      <c r="H297" s="65">
        <v>1650</v>
      </c>
      <c r="I297" s="69">
        <f>G297/H297</f>
        <v>0.4987878787878788</v>
      </c>
    </row>
    <row r="298" spans="5:9" s="65" customFormat="1" ht="12.75">
      <c r="E298" s="65" t="s">
        <v>263</v>
      </c>
      <c r="G298" s="65">
        <v>5177</v>
      </c>
      <c r="H298" s="65">
        <v>9000</v>
      </c>
      <c r="I298" s="69">
        <f>G298/H298</f>
        <v>0.5752222222222222</v>
      </c>
    </row>
    <row r="299" spans="3:9" s="65" customFormat="1" ht="12.75">
      <c r="C299" s="65" t="s">
        <v>201</v>
      </c>
      <c r="G299" s="65">
        <f>G297+G298</f>
        <v>6000</v>
      </c>
      <c r="I299" s="69">
        <f>I296+I297+I298</f>
        <v>1.074010101010101</v>
      </c>
    </row>
    <row r="300" s="65" customFormat="1" ht="12.75">
      <c r="F300" s="65" t="s">
        <v>258</v>
      </c>
    </row>
    <row r="301" spans="1:9" s="65" customFormat="1" ht="12.75">
      <c r="A301" s="65" t="s">
        <v>264</v>
      </c>
      <c r="B301" s="65" t="s">
        <v>265</v>
      </c>
      <c r="E301" s="65" t="s">
        <v>266</v>
      </c>
      <c r="G301" s="65">
        <v>410</v>
      </c>
      <c r="H301" s="65">
        <v>800</v>
      </c>
      <c r="I301" s="69">
        <f>G301/H301</f>
        <v>0.5125</v>
      </c>
    </row>
    <row r="302" spans="2:9" s="65" customFormat="1" ht="12.75">
      <c r="B302" s="65" t="s">
        <v>267</v>
      </c>
      <c r="E302" s="65" t="s">
        <v>268</v>
      </c>
      <c r="H302" s="65">
        <v>960</v>
      </c>
      <c r="I302" s="69">
        <f>G302/H302</f>
        <v>0</v>
      </c>
    </row>
    <row r="303" s="65" customFormat="1" ht="12.75">
      <c r="E303" s="65" t="s">
        <v>269</v>
      </c>
    </row>
    <row r="304" spans="3:9" s="65" customFormat="1" ht="12.75">
      <c r="C304" s="65" t="s">
        <v>201</v>
      </c>
      <c r="G304" s="65">
        <f>G301+G302+G303</f>
        <v>410</v>
      </c>
      <c r="I304" s="69">
        <f>I301+I302</f>
        <v>0.5125</v>
      </c>
    </row>
    <row r="305" s="65" customFormat="1" ht="12.75">
      <c r="F305" s="65" t="s">
        <v>270</v>
      </c>
    </row>
    <row r="306" spans="1:9" s="65" customFormat="1" ht="12.75">
      <c r="A306" s="65" t="s">
        <v>271</v>
      </c>
      <c r="B306" s="65" t="s">
        <v>272</v>
      </c>
      <c r="E306" s="65" t="s">
        <v>273</v>
      </c>
      <c r="H306" s="65">
        <v>500</v>
      </c>
      <c r="I306" s="69">
        <f>G306/H306</f>
        <v>0</v>
      </c>
    </row>
    <row r="307" spans="5:9" s="65" customFormat="1" ht="12.75">
      <c r="E307" s="65" t="s">
        <v>274</v>
      </c>
      <c r="H307" s="65">
        <v>700</v>
      </c>
      <c r="I307" s="69">
        <f>G307/H307</f>
        <v>0</v>
      </c>
    </row>
    <row r="308" s="65" customFormat="1" ht="12.75">
      <c r="E308" s="65" t="s">
        <v>275</v>
      </c>
    </row>
    <row r="309" spans="3:9" s="65" customFormat="1" ht="12.75">
      <c r="C309" s="65" t="s">
        <v>201</v>
      </c>
      <c r="G309" s="65">
        <f>G306+G307</f>
        <v>0</v>
      </c>
      <c r="I309" s="69">
        <f>I306+I307</f>
        <v>0</v>
      </c>
    </row>
    <row r="310" spans="1:2" s="65" customFormat="1" ht="12.75">
      <c r="A310" s="65" t="s">
        <v>276</v>
      </c>
      <c r="B310" s="65" t="s">
        <v>277</v>
      </c>
    </row>
    <row r="311" spans="2:9" s="65" customFormat="1" ht="12.75">
      <c r="B311" s="65" t="s">
        <v>278</v>
      </c>
      <c r="I311" s="65">
        <v>2</v>
      </c>
    </row>
  </sheetData>
  <sheetProtection/>
  <mergeCells count="45">
    <mergeCell ref="A118:D118"/>
    <mergeCell ref="C99:I99"/>
    <mergeCell ref="A108:G108"/>
    <mergeCell ref="A112:E112"/>
    <mergeCell ref="A114:G114"/>
    <mergeCell ref="A69:F69"/>
    <mergeCell ref="A70:G70"/>
    <mergeCell ref="A71:D71"/>
    <mergeCell ref="E71:G71"/>
    <mergeCell ref="A72:E72"/>
    <mergeCell ref="A54:G54"/>
    <mergeCell ref="A55:G55"/>
    <mergeCell ref="A58:D58"/>
    <mergeCell ref="A59:F59"/>
    <mergeCell ref="A62:E62"/>
    <mergeCell ref="C66:D66"/>
    <mergeCell ref="A41:G41"/>
    <mergeCell ref="A42:F42"/>
    <mergeCell ref="A43:F43"/>
    <mergeCell ref="A48:F48"/>
    <mergeCell ref="A52:G52"/>
    <mergeCell ref="A53:E53"/>
    <mergeCell ref="A35:G35"/>
    <mergeCell ref="A36:G36"/>
    <mergeCell ref="A37:G37"/>
    <mergeCell ref="A38:G38"/>
    <mergeCell ref="A39:G39"/>
    <mergeCell ref="A40:G40"/>
    <mergeCell ref="A27:G27"/>
    <mergeCell ref="A28:G28"/>
    <mergeCell ref="A30:E30"/>
    <mergeCell ref="A32:G32"/>
    <mergeCell ref="A33:G33"/>
    <mergeCell ref="A34:G34"/>
    <mergeCell ref="A15:G15"/>
    <mergeCell ref="A19:F19"/>
    <mergeCell ref="A21:F21"/>
    <mergeCell ref="A24:F24"/>
    <mergeCell ref="A25:G25"/>
    <mergeCell ref="A26:G26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5 M55 M58 M65 L75:M75 H102:H104 H106 H108 K108 H114 H116 H118 H120 H122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311"/>
  <sheetViews>
    <sheetView zoomScalePageLayoutView="0" workbookViewId="0" topLeftCell="A1">
      <selection activeCell="H122" sqref="H122"/>
    </sheetView>
  </sheetViews>
  <sheetFormatPr defaultColWidth="9.140625" defaultRowHeight="12.75"/>
  <cols>
    <col min="1" max="1" width="9.57421875" style="6" bestFit="1" customWidth="1"/>
    <col min="2" max="2" width="9.57421875" style="6" customWidth="1"/>
    <col min="3" max="4" width="9.140625" style="6" customWidth="1"/>
    <col min="5" max="5" width="10.00390625" style="6" customWidth="1"/>
    <col min="6" max="7" width="9.140625" style="6" customWidth="1"/>
    <col min="8" max="8" width="9.421875" style="6" customWidth="1"/>
    <col min="9" max="9" width="10.7109375" style="6" customWidth="1"/>
    <col min="10" max="10" width="8.28125" style="6" hidden="1" customWidth="1"/>
    <col min="11" max="11" width="13.421875" style="6" customWidth="1"/>
    <col min="12" max="12" width="13.421875" style="65" customWidth="1"/>
    <col min="13" max="16" width="9.140625" style="65" customWidth="1"/>
    <col min="17" max="16384" width="9.140625" style="6" customWidth="1"/>
  </cols>
  <sheetData>
    <row r="1" spans="1:12" ht="14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6"/>
    </row>
    <row r="2" spans="1:11" ht="14.25">
      <c r="A2" s="115" t="s">
        <v>279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5" customHeight="1">
      <c r="A4" s="116" t="s">
        <v>476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ht="15" customHeight="1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5">
        <f>9.11*1.042</f>
        <v>9.49262</v>
      </c>
    </row>
    <row r="7" spans="1:11" ht="14.25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14.25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65">
        <f>L6*4%</f>
        <v>0.3797048</v>
      </c>
    </row>
    <row r="9" spans="1:11" ht="14.25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.75"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6" s="9" customFormat="1" ht="15.75">
      <c r="A12" s="11" t="s">
        <v>69</v>
      </c>
      <c r="B12" s="11"/>
      <c r="C12" s="12"/>
      <c r="D12" s="11"/>
      <c r="E12" s="9">
        <v>52557.81</v>
      </c>
      <c r="F12" s="9" t="s">
        <v>70</v>
      </c>
      <c r="H12" s="13"/>
      <c r="I12" s="13"/>
      <c r="K12" s="13"/>
      <c r="L12" s="67" t="e">
        <f>#REF!</f>
        <v>#REF!</v>
      </c>
      <c r="M12" s="67"/>
      <c r="N12" s="67"/>
      <c r="O12" s="67"/>
      <c r="P12" s="67"/>
    </row>
    <row r="13" spans="1:16" s="9" customFormat="1" ht="15.75" customHeight="1">
      <c r="A13" s="118"/>
      <c r="B13" s="118"/>
      <c r="C13" s="118"/>
      <c r="D13" s="118"/>
      <c r="E13" s="118"/>
      <c r="F13" s="118"/>
      <c r="G13" s="118"/>
      <c r="H13" s="118"/>
      <c r="K13" s="14"/>
      <c r="L13" s="67"/>
      <c r="M13" s="67"/>
      <c r="N13" s="67"/>
      <c r="O13" s="67"/>
      <c r="P13" s="67"/>
    </row>
    <row r="14" spans="3:16" s="9" customFormat="1" ht="15.75">
      <c r="C14" s="15" t="s">
        <v>71</v>
      </c>
      <c r="D14" s="15"/>
      <c r="K14" s="5"/>
      <c r="L14" s="67"/>
      <c r="M14" s="67"/>
      <c r="N14" s="67"/>
      <c r="O14" s="67"/>
      <c r="P14" s="67"/>
    </row>
    <row r="15" spans="1:13" ht="15.75">
      <c r="A15" s="114" t="s">
        <v>72</v>
      </c>
      <c r="B15" s="114"/>
      <c r="C15" s="114"/>
      <c r="D15" s="114"/>
      <c r="E15" s="114"/>
      <c r="F15" s="114"/>
      <c r="G15" s="114"/>
      <c r="H15" s="16"/>
      <c r="I15" s="16"/>
      <c r="J15" s="16"/>
      <c r="K15" s="17">
        <f>K17+K30+K46+K59+K66+K76</f>
        <v>49555.03936963708</v>
      </c>
      <c r="L15" s="68"/>
      <c r="M15" s="65" t="s">
        <v>73</v>
      </c>
    </row>
    <row r="16" spans="1:13" ht="15.75">
      <c r="A16" s="15"/>
      <c r="B16" s="15"/>
      <c r="C16" s="19"/>
      <c r="D16" s="15"/>
      <c r="E16" s="15"/>
      <c r="F16" s="15"/>
      <c r="G16" s="15"/>
      <c r="H16" s="15"/>
      <c r="I16" s="15"/>
      <c r="J16" s="15"/>
      <c r="K16" s="18"/>
      <c r="L16" s="69"/>
      <c r="M16" s="65" t="s">
        <v>74</v>
      </c>
    </row>
    <row r="17" spans="1:15" ht="15.75">
      <c r="A17" s="20" t="s">
        <v>75</v>
      </c>
      <c r="B17" s="20"/>
      <c r="C17" s="20"/>
      <c r="D17" s="20"/>
      <c r="E17" s="20"/>
      <c r="F17" s="20"/>
      <c r="G17" s="20"/>
      <c r="H17" s="20"/>
      <c r="I17" s="21"/>
      <c r="J17" s="20"/>
      <c r="K17" s="21">
        <f>H19+H21+H22+H24+H26+H27+H28+H20</f>
        <v>11557.172135805835</v>
      </c>
      <c r="M17" s="65" t="s">
        <v>76</v>
      </c>
      <c r="O17" s="69">
        <f>I299</f>
        <v>1.5001666666666666</v>
      </c>
    </row>
    <row r="18" spans="1:15" ht="12.75">
      <c r="A18" s="22" t="s">
        <v>280</v>
      </c>
      <c r="B18" s="22"/>
      <c r="C18" s="22"/>
      <c r="D18" s="22"/>
      <c r="E18" s="22"/>
      <c r="F18" s="22"/>
      <c r="G18" s="22"/>
      <c r="H18" s="22"/>
      <c r="I18" s="22"/>
      <c r="J18" s="22">
        <v>2972395.8</v>
      </c>
      <c r="K18" s="23"/>
      <c r="M18" s="65" t="s">
        <v>78</v>
      </c>
      <c r="O18" s="69">
        <f>I304</f>
        <v>0.70375</v>
      </c>
    </row>
    <row r="19" spans="1:15" ht="12.75">
      <c r="A19" s="113" t="s">
        <v>477</v>
      </c>
      <c r="B19" s="113"/>
      <c r="C19" s="113"/>
      <c r="D19" s="113"/>
      <c r="E19" s="113"/>
      <c r="F19" s="113"/>
      <c r="G19" s="22"/>
      <c r="H19" s="23">
        <f>O17*2600*1.75*1.07</f>
        <v>7303.561416666667</v>
      </c>
      <c r="I19" s="22"/>
      <c r="J19" s="22"/>
      <c r="K19" s="23"/>
      <c r="M19" s="65" t="s">
        <v>80</v>
      </c>
      <c r="O19" s="69"/>
    </row>
    <row r="20" spans="1:15" ht="11.25" customHeight="1">
      <c r="A20" s="24" t="s">
        <v>478</v>
      </c>
      <c r="B20" s="24"/>
      <c r="C20" s="24"/>
      <c r="D20" s="24"/>
      <c r="E20" s="24"/>
      <c r="F20" s="24"/>
      <c r="G20" s="22"/>
      <c r="H20" s="23">
        <f>O18*2203*1.3*1.07</f>
        <v>2156.5524987500003</v>
      </c>
      <c r="I20" s="22"/>
      <c r="J20" s="22"/>
      <c r="K20" s="23"/>
      <c r="M20" s="65" t="s">
        <v>82</v>
      </c>
      <c r="O20" s="69">
        <v>5536.7</v>
      </c>
    </row>
    <row r="21" spans="1:15" ht="12.75" hidden="1">
      <c r="A21" s="113"/>
      <c r="B21" s="113"/>
      <c r="C21" s="113"/>
      <c r="D21" s="113"/>
      <c r="E21" s="113"/>
      <c r="F21" s="113"/>
      <c r="G21" s="22"/>
      <c r="H21" s="23"/>
      <c r="I21" s="22"/>
      <c r="J21" s="22"/>
      <c r="K21" s="23"/>
      <c r="M21" s="65" t="s">
        <v>83</v>
      </c>
      <c r="O21" s="65">
        <v>293</v>
      </c>
    </row>
    <row r="22" spans="1:16" ht="12.75">
      <c r="A22" s="23">
        <f>H19+H20</f>
        <v>9460.113915416667</v>
      </c>
      <c r="B22" s="22" t="s">
        <v>84</v>
      </c>
      <c r="C22" s="22"/>
      <c r="D22" s="22"/>
      <c r="E22" s="22"/>
      <c r="F22" s="22"/>
      <c r="G22" s="22"/>
      <c r="H22" s="23">
        <f>A22*0.142</f>
        <v>1343.3361759891666</v>
      </c>
      <c r="I22" s="22"/>
      <c r="J22" s="22">
        <v>781740.1</v>
      </c>
      <c r="K22" s="25"/>
      <c r="L22" s="70"/>
      <c r="M22" s="65" t="s">
        <v>85</v>
      </c>
      <c r="P22" s="65">
        <f>O22/2</f>
        <v>0</v>
      </c>
    </row>
    <row r="23" spans="1:16" ht="12.75">
      <c r="A23" s="22" t="s">
        <v>86</v>
      </c>
      <c r="B23" s="22"/>
      <c r="C23" s="22"/>
      <c r="D23" s="22"/>
      <c r="E23" s="22"/>
      <c r="F23" s="22"/>
      <c r="G23" s="22"/>
      <c r="H23" s="23"/>
      <c r="I23" s="22"/>
      <c r="J23" s="22">
        <v>113966.82</v>
      </c>
      <c r="K23" s="23"/>
      <c r="N23" s="65">
        <v>9</v>
      </c>
      <c r="P23" s="65">
        <f>O23/2</f>
        <v>0</v>
      </c>
    </row>
    <row r="24" spans="1:16" ht="12.75">
      <c r="A24" s="113" t="s">
        <v>479</v>
      </c>
      <c r="B24" s="113"/>
      <c r="C24" s="113"/>
      <c r="D24" s="113"/>
      <c r="E24" s="113"/>
      <c r="F24" s="113"/>
      <c r="G24" s="22"/>
      <c r="H24" s="23">
        <f>0.057*O20</f>
        <v>315.5919</v>
      </c>
      <c r="I24" s="23"/>
      <c r="J24" s="22"/>
      <c r="K24" s="23"/>
      <c r="N24" s="65">
        <v>10</v>
      </c>
      <c r="P24" s="65">
        <f>O24/2</f>
        <v>0</v>
      </c>
    </row>
    <row r="25" spans="1:11" ht="12.75">
      <c r="A25" s="24" t="s">
        <v>480</v>
      </c>
      <c r="B25" s="24"/>
      <c r="C25" s="24"/>
      <c r="D25" s="24"/>
      <c r="E25" s="24"/>
      <c r="F25" s="24"/>
      <c r="G25" s="22"/>
      <c r="H25" s="23">
        <f>O20*0.0085</f>
        <v>47.06195</v>
      </c>
      <c r="I25" s="23"/>
      <c r="J25" s="22"/>
      <c r="K25" s="23"/>
    </row>
    <row r="26" spans="1:13" ht="12.75">
      <c r="A26" s="113" t="s">
        <v>481</v>
      </c>
      <c r="B26" s="113"/>
      <c r="C26" s="113"/>
      <c r="D26" s="113"/>
      <c r="E26" s="113"/>
      <c r="F26" s="113"/>
      <c r="G26" s="113"/>
      <c r="H26" s="23">
        <f>0.005*O20</f>
        <v>27.6835</v>
      </c>
      <c r="I26" s="22"/>
      <c r="J26" s="22"/>
      <c r="K26" s="23"/>
      <c r="M26" s="65" t="s">
        <v>90</v>
      </c>
    </row>
    <row r="27" spans="1:15" ht="12.75">
      <c r="A27" s="113" t="s">
        <v>482</v>
      </c>
      <c r="B27" s="113"/>
      <c r="C27" s="113"/>
      <c r="D27" s="113"/>
      <c r="E27" s="113"/>
      <c r="F27" s="113"/>
      <c r="G27" s="113"/>
      <c r="H27" s="23">
        <f>O20*0.017</f>
        <v>94.1239</v>
      </c>
      <c r="I27" s="22"/>
      <c r="J27" s="22">
        <v>13606.82</v>
      </c>
      <c r="K27" s="23"/>
      <c r="M27" s="65" t="s">
        <v>92</v>
      </c>
      <c r="O27" s="65">
        <v>48</v>
      </c>
    </row>
    <row r="28" spans="1:15" ht="12.75">
      <c r="A28" s="113" t="s">
        <v>93</v>
      </c>
      <c r="B28" s="113"/>
      <c r="C28" s="113"/>
      <c r="D28" s="113"/>
      <c r="E28" s="113"/>
      <c r="F28" s="113"/>
      <c r="G28" s="113"/>
      <c r="H28" s="23">
        <f>0.054*O20*1.058</f>
        <v>316.3227444</v>
      </c>
      <c r="I28" s="22"/>
      <c r="J28" s="22"/>
      <c r="K28" s="23"/>
      <c r="M28" s="65" t="s">
        <v>94</v>
      </c>
      <c r="O28" s="65">
        <v>910</v>
      </c>
    </row>
    <row r="29" spans="1:11" ht="12.75">
      <c r="A29" s="24"/>
      <c r="B29" s="24"/>
      <c r="C29" s="24"/>
      <c r="D29" s="24"/>
      <c r="E29" s="24"/>
      <c r="F29" s="24"/>
      <c r="G29" s="24"/>
      <c r="H29" s="23"/>
      <c r="I29" s="22"/>
      <c r="J29" s="22"/>
      <c r="K29" s="23"/>
    </row>
    <row r="30" spans="1:15" ht="15.75">
      <c r="A30" s="110" t="s">
        <v>95</v>
      </c>
      <c r="B30" s="110"/>
      <c r="C30" s="110"/>
      <c r="D30" s="110"/>
      <c r="E30" s="110"/>
      <c r="F30" s="20"/>
      <c r="G30" s="20"/>
      <c r="H30" s="27"/>
      <c r="I30" s="20"/>
      <c r="J30" s="20"/>
      <c r="K30" s="21">
        <f>H32+H33+H34+H35+H36+H37+H38+H40+H41+H42+H43+K41+H39+H44</f>
        <v>9443.782707777777</v>
      </c>
      <c r="M30" s="65" t="s">
        <v>96</v>
      </c>
      <c r="O30" s="69">
        <f>K287</f>
        <v>1.578929116682905</v>
      </c>
    </row>
    <row r="31" spans="1:15" ht="12.75">
      <c r="A31" s="22"/>
      <c r="B31" s="22" t="s">
        <v>64</v>
      </c>
      <c r="C31" s="22"/>
      <c r="D31" s="22"/>
      <c r="E31" s="22"/>
      <c r="F31" s="22"/>
      <c r="G31" s="22"/>
      <c r="H31" s="28"/>
      <c r="I31" s="22"/>
      <c r="J31" s="22"/>
      <c r="K31" s="29"/>
      <c r="M31" s="65" t="s">
        <v>97</v>
      </c>
      <c r="O31" s="69">
        <f>O21*1.5/12/11.25</f>
        <v>3.2555555555555555</v>
      </c>
    </row>
    <row r="32" spans="1:11" ht="12.75">
      <c r="A32" s="113" t="s">
        <v>483</v>
      </c>
      <c r="B32" s="113"/>
      <c r="C32" s="113"/>
      <c r="D32" s="113"/>
      <c r="E32" s="113"/>
      <c r="F32" s="113"/>
      <c r="G32" s="113"/>
      <c r="H32" s="28">
        <f>(O21*1.5)/12*90.3*1.058</f>
        <v>3499.0572749999997</v>
      </c>
      <c r="I32" s="22"/>
      <c r="J32" s="22"/>
      <c r="K32" s="29"/>
    </row>
    <row r="33" spans="1:11" ht="12.75">
      <c r="A33" s="113" t="s">
        <v>484</v>
      </c>
      <c r="B33" s="113"/>
      <c r="C33" s="113"/>
      <c r="D33" s="113"/>
      <c r="E33" s="113"/>
      <c r="F33" s="113"/>
      <c r="G33" s="113"/>
      <c r="H33" s="28">
        <f>O21*1.5*33.1/12*1.058</f>
        <v>1282.6001750000003</v>
      </c>
      <c r="I33" s="22"/>
      <c r="J33" s="22"/>
      <c r="K33" s="29"/>
    </row>
    <row r="34" spans="1:11" ht="12.75">
      <c r="A34" s="113" t="s">
        <v>485</v>
      </c>
      <c r="B34" s="113"/>
      <c r="C34" s="113"/>
      <c r="D34" s="113"/>
      <c r="E34" s="113"/>
      <c r="F34" s="113"/>
      <c r="G34" s="113"/>
      <c r="H34" s="28">
        <f>O28*2.48</f>
        <v>2256.8</v>
      </c>
      <c r="I34" s="22"/>
      <c r="J34" s="22"/>
      <c r="K34" s="29"/>
    </row>
    <row r="35" spans="1:11" ht="12.75">
      <c r="A35" s="113" t="s">
        <v>486</v>
      </c>
      <c r="B35" s="113"/>
      <c r="C35" s="113"/>
      <c r="D35" s="113"/>
      <c r="E35" s="113"/>
      <c r="F35" s="113"/>
      <c r="G35" s="113"/>
      <c r="H35" s="28">
        <f>O20*0.0277</f>
        <v>153.36659</v>
      </c>
      <c r="I35" s="22"/>
      <c r="J35" s="22"/>
      <c r="K35" s="29"/>
    </row>
    <row r="36" spans="1:11" ht="12.75">
      <c r="A36" s="113" t="s">
        <v>487</v>
      </c>
      <c r="B36" s="113"/>
      <c r="C36" s="113"/>
      <c r="D36" s="113"/>
      <c r="E36" s="113"/>
      <c r="F36" s="113"/>
      <c r="G36" s="113"/>
      <c r="H36" s="28">
        <f>O20*0.0027</f>
        <v>14.94909</v>
      </c>
      <c r="I36" s="22"/>
      <c r="J36" s="22"/>
      <c r="K36" s="29"/>
    </row>
    <row r="37" spans="1:11" ht="12.75">
      <c r="A37" s="113" t="s">
        <v>103</v>
      </c>
      <c r="B37" s="113"/>
      <c r="C37" s="113"/>
      <c r="D37" s="113"/>
      <c r="E37" s="113"/>
      <c r="F37" s="113"/>
      <c r="G37" s="113"/>
      <c r="H37" s="28">
        <f>O27*4.81/12</f>
        <v>19.24</v>
      </c>
      <c r="I37" s="22"/>
      <c r="J37" s="22"/>
      <c r="K37" s="29"/>
    </row>
    <row r="38" spans="1:15" ht="12.75">
      <c r="A38" s="113" t="s">
        <v>488</v>
      </c>
      <c r="B38" s="113"/>
      <c r="C38" s="113"/>
      <c r="D38" s="113"/>
      <c r="E38" s="113"/>
      <c r="F38" s="113"/>
      <c r="G38" s="113"/>
      <c r="H38" s="28">
        <f>116*80/12/3</f>
        <v>257.77777777777777</v>
      </c>
      <c r="I38" s="22"/>
      <c r="J38" s="22"/>
      <c r="K38" s="29"/>
      <c r="L38" s="65">
        <f>119*80*1.274/2/12</f>
        <v>505.3533333333333</v>
      </c>
      <c r="M38" s="65" t="s">
        <v>489</v>
      </c>
      <c r="O38" s="65">
        <v>116</v>
      </c>
    </row>
    <row r="39" spans="1:11" ht="12.75">
      <c r="A39" s="30" t="s">
        <v>490</v>
      </c>
      <c r="B39" s="30"/>
      <c r="C39" s="30"/>
      <c r="D39" s="30"/>
      <c r="E39" s="30"/>
      <c r="F39" s="30"/>
      <c r="G39" s="30"/>
      <c r="H39" s="31">
        <f>O20*0.216</f>
        <v>1195.9271999999999</v>
      </c>
      <c r="I39" s="22"/>
      <c r="J39" s="22"/>
      <c r="K39" s="29"/>
    </row>
    <row r="40" spans="1:11" ht="12.75">
      <c r="A40" s="113" t="s">
        <v>491</v>
      </c>
      <c r="B40" s="113"/>
      <c r="C40" s="113"/>
      <c r="D40" s="113"/>
      <c r="E40" s="113"/>
      <c r="F40" s="113"/>
      <c r="G40" s="113"/>
      <c r="H40" s="28">
        <f>O20*0.027</f>
        <v>149.49089999999998</v>
      </c>
      <c r="I40" s="22"/>
      <c r="J40" s="32"/>
      <c r="K40" s="29"/>
    </row>
    <row r="41" spans="1:11" ht="12.75">
      <c r="A41" s="113" t="s">
        <v>492</v>
      </c>
      <c r="B41" s="113"/>
      <c r="C41" s="113"/>
      <c r="D41" s="113"/>
      <c r="E41" s="113"/>
      <c r="F41" s="113"/>
      <c r="G41" s="113"/>
      <c r="H41" s="28">
        <f>O20*0.022</f>
        <v>121.80739999999999</v>
      </c>
      <c r="I41" s="22"/>
      <c r="J41" s="22"/>
      <c r="K41" s="29"/>
    </row>
    <row r="42" spans="1:11" ht="12.75">
      <c r="A42" s="113" t="s">
        <v>493</v>
      </c>
      <c r="B42" s="113"/>
      <c r="C42" s="113"/>
      <c r="D42" s="113"/>
      <c r="E42" s="113"/>
      <c r="F42" s="113"/>
      <c r="G42" s="113"/>
      <c r="H42" s="28">
        <f>O20*0.022</f>
        <v>121.80739999999999</v>
      </c>
      <c r="I42" s="22"/>
      <c r="J42" s="22"/>
      <c r="K42" s="29"/>
    </row>
    <row r="43" spans="1:11" ht="12.75">
      <c r="A43" s="113" t="s">
        <v>494</v>
      </c>
      <c r="B43" s="113"/>
      <c r="C43" s="113"/>
      <c r="D43" s="113"/>
      <c r="E43" s="113"/>
      <c r="F43" s="113"/>
      <c r="G43" s="24"/>
      <c r="H43" s="28">
        <f>O20*0.053</f>
        <v>293.44509999999997</v>
      </c>
      <c r="I43" s="22"/>
      <c r="J43" s="22"/>
      <c r="K43" s="29"/>
    </row>
    <row r="44" spans="1:11" ht="12.75">
      <c r="A44" s="113" t="s">
        <v>495</v>
      </c>
      <c r="B44" s="113"/>
      <c r="C44" s="113"/>
      <c r="D44" s="113"/>
      <c r="E44" s="113"/>
      <c r="F44" s="113"/>
      <c r="G44" s="24"/>
      <c r="H44" s="28">
        <f>O20*0.014</f>
        <v>77.5138</v>
      </c>
      <c r="I44" s="22"/>
      <c r="J44" s="22"/>
      <c r="K44" s="29"/>
    </row>
    <row r="45" spans="1:11" ht="12.75">
      <c r="A45" s="24"/>
      <c r="B45" s="24"/>
      <c r="C45" s="24"/>
      <c r="D45" s="24"/>
      <c r="E45" s="24"/>
      <c r="F45" s="24"/>
      <c r="G45" s="24"/>
      <c r="H45" s="28"/>
      <c r="I45" s="22"/>
      <c r="J45" s="22"/>
      <c r="K45" s="29"/>
    </row>
    <row r="46" spans="1:13" ht="15.75">
      <c r="A46" s="20" t="s">
        <v>111</v>
      </c>
      <c r="B46" s="20"/>
      <c r="C46" s="20"/>
      <c r="D46" s="20"/>
      <c r="E46" s="20"/>
      <c r="F46" s="20"/>
      <c r="G46" s="20"/>
      <c r="H46" s="27"/>
      <c r="I46" s="20"/>
      <c r="J46" s="20"/>
      <c r="K46" s="21">
        <f>H49+H51+H52+H53+H54+H55+H56+H57</f>
        <v>19233.603746053464</v>
      </c>
      <c r="M46" s="71" t="e">
        <f>K46/309084*#REF!</f>
        <v>#REF!</v>
      </c>
    </row>
    <row r="47" spans="1:11" ht="12.75">
      <c r="A47" s="22"/>
      <c r="B47" s="22" t="s">
        <v>64</v>
      </c>
      <c r="C47" s="22"/>
      <c r="D47" s="22"/>
      <c r="E47" s="22"/>
      <c r="F47" s="22"/>
      <c r="G47" s="22"/>
      <c r="H47" s="28"/>
      <c r="I47" s="22"/>
      <c r="J47" s="22"/>
      <c r="K47" s="29"/>
    </row>
    <row r="48" spans="1:11" ht="12.75">
      <c r="A48" s="33" t="s">
        <v>112</v>
      </c>
      <c r="B48" s="33"/>
      <c r="C48" s="33"/>
      <c r="D48" s="33"/>
      <c r="E48" s="33"/>
      <c r="F48" s="33"/>
      <c r="G48" s="33"/>
      <c r="H48" s="34"/>
      <c r="I48" s="33"/>
      <c r="J48" s="33"/>
      <c r="K48" s="35"/>
    </row>
    <row r="49" spans="1:11" ht="12.75">
      <c r="A49" s="111" t="s">
        <v>113</v>
      </c>
      <c r="B49" s="111"/>
      <c r="C49" s="111"/>
      <c r="D49" s="111"/>
      <c r="E49" s="111"/>
      <c r="F49" s="111"/>
      <c r="G49" s="36"/>
      <c r="H49" s="37">
        <f>K287*24.48*165.1*1.5*1.07</f>
        <v>10242.268509066082</v>
      </c>
      <c r="I49" s="38"/>
      <c r="J49" s="38"/>
      <c r="K49" s="35"/>
    </row>
    <row r="50" spans="1:11" ht="12.75">
      <c r="A50" s="33" t="s">
        <v>114</v>
      </c>
      <c r="B50" s="33"/>
      <c r="C50" s="33"/>
      <c r="D50" s="33"/>
      <c r="E50" s="33"/>
      <c r="F50" s="33"/>
      <c r="G50" s="33"/>
      <c r="H50" s="34"/>
      <c r="I50" s="33"/>
      <c r="J50" s="33"/>
      <c r="K50" s="35"/>
    </row>
    <row r="51" spans="1:11" ht="12.75">
      <c r="A51" s="39">
        <f>H49</f>
        <v>10242.268509066082</v>
      </c>
      <c r="B51" s="36" t="s">
        <v>115</v>
      </c>
      <c r="C51" s="36"/>
      <c r="D51" s="36"/>
      <c r="E51" s="36"/>
      <c r="F51" s="36"/>
      <c r="G51" s="38"/>
      <c r="H51" s="37">
        <f>H49*14.2%</f>
        <v>1454.4021282873834</v>
      </c>
      <c r="I51" s="38"/>
      <c r="J51" s="38"/>
      <c r="K51" s="35"/>
    </row>
    <row r="52" spans="1:11" ht="12.75">
      <c r="A52" s="30" t="s">
        <v>86</v>
      </c>
      <c r="B52" s="30"/>
      <c r="C52" s="30"/>
      <c r="D52" s="30"/>
      <c r="E52" s="30"/>
      <c r="F52" s="40"/>
      <c r="G52" s="40"/>
      <c r="H52" s="37">
        <f>0.04*O20</f>
        <v>221.468</v>
      </c>
      <c r="I52" s="38"/>
      <c r="J52" s="38"/>
      <c r="K52" s="35"/>
    </row>
    <row r="53" spans="1:13" ht="12.75">
      <c r="A53" s="108" t="s">
        <v>116</v>
      </c>
      <c r="B53" s="108"/>
      <c r="C53" s="108"/>
      <c r="D53" s="108"/>
      <c r="E53" s="108"/>
      <c r="F53" s="108"/>
      <c r="G53" s="108"/>
      <c r="H53" s="37">
        <v>6350</v>
      </c>
      <c r="I53" s="38"/>
      <c r="J53" s="38"/>
      <c r="K53" s="35"/>
      <c r="M53" s="65">
        <f>O20*0.97</f>
        <v>5370.598999999999</v>
      </c>
    </row>
    <row r="54" spans="1:11" ht="12.75">
      <c r="A54" s="108" t="s">
        <v>496</v>
      </c>
      <c r="B54" s="108"/>
      <c r="C54" s="108"/>
      <c r="D54" s="108"/>
      <c r="E54" s="108"/>
      <c r="F54" s="30"/>
      <c r="G54" s="30"/>
      <c r="H54" s="37">
        <f>0.0037*O20</f>
        <v>20.48579</v>
      </c>
      <c r="I54" s="38"/>
      <c r="J54" s="38"/>
      <c r="K54" s="35"/>
    </row>
    <row r="55" spans="1:12" ht="12.75">
      <c r="A55" s="108" t="s">
        <v>497</v>
      </c>
      <c r="B55" s="108"/>
      <c r="C55" s="108"/>
      <c r="D55" s="108"/>
      <c r="E55" s="108"/>
      <c r="F55" s="108"/>
      <c r="G55" s="108"/>
      <c r="H55" s="37">
        <f>O20*0.082</f>
        <v>454.0094</v>
      </c>
      <c r="I55" s="38"/>
      <c r="J55" s="38"/>
      <c r="K55" s="35"/>
      <c r="L55" s="69"/>
    </row>
    <row r="56" spans="1:13" ht="12.75">
      <c r="A56" s="108" t="s">
        <v>498</v>
      </c>
      <c r="B56" s="108"/>
      <c r="C56" s="108"/>
      <c r="D56" s="108"/>
      <c r="E56" s="108"/>
      <c r="F56" s="108"/>
      <c r="G56" s="108"/>
      <c r="H56" s="31">
        <f>O20*0.023*1.107</f>
        <v>140.9699187</v>
      </c>
      <c r="I56" s="33"/>
      <c r="J56" s="33"/>
      <c r="K56" s="35"/>
      <c r="M56" s="65" t="e">
        <f>36646.37/309083*#REF!</f>
        <v>#REF!</v>
      </c>
    </row>
    <row r="57" spans="1:11" ht="12.75">
      <c r="A57" s="41" t="s">
        <v>120</v>
      </c>
      <c r="B57" s="41"/>
      <c r="C57" s="41"/>
      <c r="D57" s="41"/>
      <c r="E57" s="40"/>
      <c r="F57" s="40"/>
      <c r="G57" s="40"/>
      <c r="H57" s="31">
        <v>350</v>
      </c>
      <c r="I57" s="40"/>
      <c r="J57" s="40"/>
      <c r="K57" s="35"/>
    </row>
    <row r="58" spans="1:11" ht="12.75">
      <c r="A58" s="41"/>
      <c r="B58" s="41"/>
      <c r="C58" s="41"/>
      <c r="D58" s="41"/>
      <c r="E58" s="40"/>
      <c r="F58" s="40"/>
      <c r="G58" s="40"/>
      <c r="H58" s="31"/>
      <c r="I58" s="40"/>
      <c r="J58" s="40"/>
      <c r="K58" s="35"/>
    </row>
    <row r="59" spans="1:13" ht="15.75">
      <c r="A59" s="110" t="s">
        <v>121</v>
      </c>
      <c r="B59" s="110"/>
      <c r="C59" s="110"/>
      <c r="D59" s="110"/>
      <c r="E59" s="42"/>
      <c r="F59" s="42"/>
      <c r="G59" s="20"/>
      <c r="H59" s="27"/>
      <c r="I59" s="20"/>
      <c r="J59" s="20"/>
      <c r="K59" s="21">
        <f>H61+H62+H63+H64</f>
        <v>4002.48043</v>
      </c>
      <c r="M59" s="72" t="e">
        <f>51932.37/301083*#REF!</f>
        <v>#REF!</v>
      </c>
    </row>
    <row r="60" spans="1:11" ht="12.75">
      <c r="A60" s="111" t="s">
        <v>122</v>
      </c>
      <c r="B60" s="111"/>
      <c r="C60" s="111"/>
      <c r="D60" s="111"/>
      <c r="E60" s="111"/>
      <c r="F60" s="111"/>
      <c r="G60" s="36"/>
      <c r="H60" s="37"/>
      <c r="I60" s="36"/>
      <c r="J60" s="36"/>
      <c r="K60" s="35"/>
    </row>
    <row r="61" spans="1:11" ht="12.75">
      <c r="A61" s="36" t="s">
        <v>499</v>
      </c>
      <c r="B61" s="36"/>
      <c r="C61" s="36"/>
      <c r="D61" s="36"/>
      <c r="E61" s="36"/>
      <c r="F61" s="36"/>
      <c r="G61" s="36"/>
      <c r="H61" s="37">
        <f>0.2227*O20</f>
        <v>1233.02309</v>
      </c>
      <c r="I61" s="36"/>
      <c r="J61" s="36"/>
      <c r="K61" s="35"/>
    </row>
    <row r="62" spans="1:11" ht="12.75">
      <c r="A62" s="30" t="s">
        <v>500</v>
      </c>
      <c r="B62" s="43"/>
      <c r="C62" s="30"/>
      <c r="D62" s="30"/>
      <c r="E62" s="44"/>
      <c r="F62" s="38"/>
      <c r="G62" s="38"/>
      <c r="H62" s="37">
        <f>0.0257*O20</f>
        <v>142.29319</v>
      </c>
      <c r="I62" s="38"/>
      <c r="J62" s="38"/>
      <c r="K62" s="35"/>
    </row>
    <row r="63" spans="1:11" ht="12.75">
      <c r="A63" s="111" t="s">
        <v>501</v>
      </c>
      <c r="B63" s="111"/>
      <c r="C63" s="111"/>
      <c r="D63" s="111"/>
      <c r="E63" s="111"/>
      <c r="F63" s="38"/>
      <c r="G63" s="38"/>
      <c r="H63" s="37">
        <f>0.0945*O20</f>
        <v>523.21815</v>
      </c>
      <c r="I63" s="38"/>
      <c r="J63" s="38"/>
      <c r="K63" s="35"/>
    </row>
    <row r="64" spans="1:11" ht="12.75">
      <c r="A64" s="36" t="s">
        <v>502</v>
      </c>
      <c r="B64" s="36"/>
      <c r="C64" s="36"/>
      <c r="D64" s="36"/>
      <c r="E64" s="36"/>
      <c r="F64" s="38"/>
      <c r="G64" s="38"/>
      <c r="H64" s="37">
        <f>0.38*O20</f>
        <v>2103.946</v>
      </c>
      <c r="I64" s="38"/>
      <c r="J64" s="38"/>
      <c r="K64" s="45"/>
    </row>
    <row r="65" spans="1:11" ht="12.75">
      <c r="A65" s="30"/>
      <c r="B65" s="30"/>
      <c r="C65" s="30"/>
      <c r="D65" s="30"/>
      <c r="E65" s="38"/>
      <c r="F65" s="38"/>
      <c r="G65" s="38"/>
      <c r="H65" s="37"/>
      <c r="I65" s="38"/>
      <c r="J65" s="38"/>
      <c r="K65" s="35"/>
    </row>
    <row r="66" spans="1:13" ht="15.75">
      <c r="A66" s="26" t="s">
        <v>127</v>
      </c>
      <c r="B66" s="26"/>
      <c r="C66" s="26"/>
      <c r="D66" s="26"/>
      <c r="E66" s="26"/>
      <c r="F66" s="26"/>
      <c r="G66" s="26"/>
      <c r="H66" s="46"/>
      <c r="I66" s="20"/>
      <c r="J66" s="20"/>
      <c r="K66" s="21">
        <f>O20*0.94</f>
        <v>5204.498</v>
      </c>
      <c r="M66" s="71" t="e">
        <f>231179.9/309083*#REF!</f>
        <v>#REF!</v>
      </c>
    </row>
    <row r="67" spans="1:11" ht="15.75">
      <c r="A67" s="47"/>
      <c r="B67" s="47"/>
      <c r="C67" s="112" t="s">
        <v>64</v>
      </c>
      <c r="D67" s="112"/>
      <c r="E67" s="47"/>
      <c r="F67" s="47"/>
      <c r="G67" s="47"/>
      <c r="H67" s="48"/>
      <c r="I67" s="47"/>
      <c r="J67" s="47"/>
      <c r="K67" s="49"/>
    </row>
    <row r="68" spans="1:11" ht="12.75">
      <c r="A68" s="30" t="s">
        <v>128</v>
      </c>
      <c r="B68" s="30"/>
      <c r="C68" s="30"/>
      <c r="D68" s="30"/>
      <c r="E68" s="30"/>
      <c r="F68" s="30"/>
      <c r="G68" s="30"/>
      <c r="H68" s="37"/>
      <c r="I68" s="38"/>
      <c r="J68" s="38"/>
      <c r="K68" s="35"/>
    </row>
    <row r="69" spans="1:11" ht="12.75">
      <c r="A69" s="30" t="s">
        <v>129</v>
      </c>
      <c r="B69" s="43"/>
      <c r="C69" s="30"/>
      <c r="D69" s="30"/>
      <c r="E69" s="30"/>
      <c r="F69" s="44"/>
      <c r="G69" s="44"/>
      <c r="H69" s="37"/>
      <c r="I69" s="38"/>
      <c r="J69" s="38"/>
      <c r="K69" s="35"/>
    </row>
    <row r="70" spans="1:11" ht="12.75">
      <c r="A70" s="108" t="s">
        <v>130</v>
      </c>
      <c r="B70" s="108"/>
      <c r="C70" s="108"/>
      <c r="D70" s="108"/>
      <c r="E70" s="108"/>
      <c r="F70" s="108"/>
      <c r="G70" s="44"/>
      <c r="H70" s="37"/>
      <c r="I70" s="38"/>
      <c r="J70" s="38"/>
      <c r="K70" s="35"/>
    </row>
    <row r="71" spans="1:11" ht="12.75">
      <c r="A71" s="108" t="s">
        <v>131</v>
      </c>
      <c r="B71" s="108"/>
      <c r="C71" s="108"/>
      <c r="D71" s="108"/>
      <c r="E71" s="108"/>
      <c r="F71" s="108"/>
      <c r="G71" s="108"/>
      <c r="H71" s="37"/>
      <c r="I71" s="38"/>
      <c r="J71" s="38"/>
      <c r="K71" s="35"/>
    </row>
    <row r="72" spans="1:11" ht="12.75">
      <c r="A72" s="108" t="s">
        <v>132</v>
      </c>
      <c r="B72" s="108"/>
      <c r="C72" s="108"/>
      <c r="D72" s="108"/>
      <c r="E72" s="109"/>
      <c r="F72" s="109"/>
      <c r="G72" s="109"/>
      <c r="H72" s="37"/>
      <c r="I72" s="38"/>
      <c r="J72" s="38"/>
      <c r="K72" s="35"/>
    </row>
    <row r="73" spans="1:11" ht="12.75">
      <c r="A73" s="108" t="s">
        <v>133</v>
      </c>
      <c r="B73" s="108"/>
      <c r="C73" s="108"/>
      <c r="D73" s="108"/>
      <c r="E73" s="108"/>
      <c r="F73" s="44"/>
      <c r="G73" s="44"/>
      <c r="H73" s="37"/>
      <c r="I73" s="38"/>
      <c r="J73" s="38"/>
      <c r="K73" s="35"/>
    </row>
    <row r="74" spans="1:11" ht="12.75">
      <c r="A74" s="44" t="s">
        <v>134</v>
      </c>
      <c r="B74" s="44"/>
      <c r="C74" s="44"/>
      <c r="D74" s="44"/>
      <c r="E74" s="44"/>
      <c r="F74" s="44"/>
      <c r="G74" s="44"/>
      <c r="H74" s="37"/>
      <c r="I74" s="38"/>
      <c r="J74" s="38"/>
      <c r="K74" s="35"/>
    </row>
    <row r="75" spans="1:11" ht="12.75">
      <c r="A75" s="22"/>
      <c r="B75" s="22"/>
      <c r="C75" s="22"/>
      <c r="D75" s="22"/>
      <c r="E75" s="22"/>
      <c r="F75" s="22"/>
      <c r="G75" s="22"/>
      <c r="H75" s="28"/>
      <c r="I75" s="22"/>
      <c r="J75" s="22"/>
      <c r="K75" s="29"/>
    </row>
    <row r="76" spans="1:13" ht="15.75">
      <c r="A76" s="20" t="s">
        <v>135</v>
      </c>
      <c r="B76" s="20"/>
      <c r="C76" s="20"/>
      <c r="D76" s="20"/>
      <c r="E76" s="20"/>
      <c r="F76" s="51"/>
      <c r="G76" s="51"/>
      <c r="H76" s="52"/>
      <c r="I76" s="51"/>
      <c r="J76" s="51"/>
      <c r="K76" s="21">
        <f>0.0205*O20</f>
        <v>113.50235</v>
      </c>
      <c r="L76" s="72" t="e">
        <f>K76/309084*#REF!</f>
        <v>#REF!</v>
      </c>
      <c r="M76" s="72" t="e">
        <f>L76/309084*#REF!</f>
        <v>#REF!</v>
      </c>
    </row>
    <row r="77" spans="1:13" ht="15.75">
      <c r="A77" s="53"/>
      <c r="B77" s="54"/>
      <c r="C77" s="54"/>
      <c r="D77" s="54"/>
      <c r="E77" s="54"/>
      <c r="F77" s="53"/>
      <c r="G77" s="53"/>
      <c r="H77" s="55"/>
      <c r="I77" s="53"/>
      <c r="J77" s="53"/>
      <c r="K77" s="56"/>
      <c r="L77" s="72"/>
      <c r="M77" s="72"/>
    </row>
    <row r="78" spans="1:11" ht="15.75">
      <c r="A78" s="57" t="s">
        <v>136</v>
      </c>
      <c r="B78" s="57"/>
      <c r="C78" s="57"/>
      <c r="D78" s="58"/>
      <c r="E78" s="58"/>
      <c r="F78" s="58"/>
      <c r="G78" s="58"/>
      <c r="H78" s="59"/>
      <c r="I78" s="58"/>
      <c r="J78" s="58"/>
      <c r="K78" s="60">
        <f>K15*6%</f>
        <v>2973.302362178225</v>
      </c>
    </row>
    <row r="79" spans="1:11" ht="15">
      <c r="A79" s="58"/>
      <c r="B79" s="61"/>
      <c r="C79" s="61"/>
      <c r="D79" s="61"/>
      <c r="E79" s="61"/>
      <c r="F79" s="61"/>
      <c r="G79" s="61"/>
      <c r="H79" s="62"/>
      <c r="I79" s="58"/>
      <c r="J79" s="58"/>
      <c r="K79" s="58"/>
    </row>
    <row r="80" spans="1:11" ht="15.75">
      <c r="A80" s="63" t="s">
        <v>137</v>
      </c>
      <c r="B80" s="63"/>
      <c r="C80" s="63"/>
      <c r="D80" s="63"/>
      <c r="E80" s="63"/>
      <c r="F80" s="63"/>
      <c r="G80" s="63"/>
      <c r="H80" s="63"/>
      <c r="I80" s="63"/>
      <c r="J80" s="63"/>
      <c r="K80" s="64">
        <f>K78+K15</f>
        <v>52528.34173181531</v>
      </c>
    </row>
    <row r="81" spans="1:11" ht="15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4"/>
    </row>
    <row r="82" spans="1:11" ht="15.75">
      <c r="A82" s="63" t="s">
        <v>138</v>
      </c>
      <c r="B82" s="63"/>
      <c r="C82" s="63"/>
      <c r="D82" s="63"/>
      <c r="E82" s="63"/>
      <c r="F82" s="63"/>
      <c r="G82" s="63"/>
      <c r="H82" s="63"/>
      <c r="I82" s="63"/>
      <c r="J82" s="63"/>
      <c r="K82" s="64">
        <f>K80/O20</f>
        <v>9.487301412721532</v>
      </c>
    </row>
    <row r="83" spans="1:11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1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0" spans="7:11" ht="12.75">
      <c r="G90" s="123"/>
      <c r="H90" s="123"/>
      <c r="I90" s="123"/>
      <c r="J90" s="123"/>
      <c r="K90" s="123"/>
    </row>
    <row r="91" spans="7:11" ht="12.75">
      <c r="G91" s="123"/>
      <c r="H91" s="123"/>
      <c r="I91" s="123"/>
      <c r="J91" s="123"/>
      <c r="K91" s="123"/>
    </row>
    <row r="92" spans="7:11" ht="12.75">
      <c r="G92" s="123"/>
      <c r="H92" s="123"/>
      <c r="I92" s="123"/>
      <c r="J92" s="123"/>
      <c r="K92" s="123"/>
    </row>
    <row r="93" spans="7:11" ht="12.75">
      <c r="G93" s="123"/>
      <c r="H93" s="123"/>
      <c r="I93" s="123"/>
      <c r="J93" s="123"/>
      <c r="K93" s="123"/>
    </row>
    <row r="99" spans="3:9" s="65" customFormat="1" ht="15.75">
      <c r="C99" s="106" t="s">
        <v>139</v>
      </c>
      <c r="D99" s="107"/>
      <c r="E99" s="107"/>
      <c r="F99" s="107"/>
      <c r="G99" s="107"/>
      <c r="H99" s="107"/>
      <c r="I99" s="107"/>
    </row>
    <row r="100" spans="3:9" s="65" customFormat="1" ht="15.75">
      <c r="C100" s="74" t="s">
        <v>140</v>
      </c>
      <c r="D100" s="74" t="s">
        <v>141</v>
      </c>
      <c r="E100" s="74"/>
      <c r="F100" s="74"/>
      <c r="G100" s="75"/>
      <c r="H100" s="75"/>
      <c r="I100" s="75"/>
    </row>
    <row r="101" s="65" customFormat="1" ht="12.75"/>
    <row r="102" spans="5:8" s="65" customFormat="1" ht="12.75">
      <c r="E102" s="65" t="s">
        <v>142</v>
      </c>
      <c r="H102" s="65" t="e">
        <f>#REF!</f>
        <v>#REF!</v>
      </c>
    </row>
    <row r="103" spans="5:8" s="65" customFormat="1" ht="12.75">
      <c r="E103" s="65" t="s">
        <v>143</v>
      </c>
      <c r="H103" s="65" t="e">
        <f>#REF!</f>
        <v>#REF!</v>
      </c>
    </row>
    <row r="104" spans="5:8" s="65" customFormat="1" ht="12.75">
      <c r="E104" s="65" t="s">
        <v>144</v>
      </c>
      <c r="H104" s="65" t="e">
        <f>#REF!</f>
        <v>#REF!</v>
      </c>
    </row>
    <row r="105" spans="5:8" s="65" customFormat="1" ht="12.75">
      <c r="E105" s="65" t="s">
        <v>145</v>
      </c>
      <c r="H105" s="65">
        <f>O21</f>
        <v>293</v>
      </c>
    </row>
    <row r="106" spans="5:8" s="65" customFormat="1" ht="12.75">
      <c r="E106" s="65" t="s">
        <v>146</v>
      </c>
      <c r="H106" s="65" t="e">
        <f>#REF!</f>
        <v>#REF!</v>
      </c>
    </row>
    <row r="107" s="65" customFormat="1" ht="12.75"/>
    <row r="108" spans="1:11" s="65" customFormat="1" ht="15.75">
      <c r="A108" s="105" t="s">
        <v>72</v>
      </c>
      <c r="B108" s="105"/>
      <c r="C108" s="105"/>
      <c r="D108" s="105"/>
      <c r="E108" s="105"/>
      <c r="F108" s="105"/>
      <c r="G108" s="105"/>
      <c r="H108" s="76" t="e">
        <f>H110+H112+H114+H116+H118+H120+H122</f>
        <v>#REF!</v>
      </c>
      <c r="I108" s="77" t="s">
        <v>70</v>
      </c>
      <c r="K108" s="78" t="e">
        <f>H108-20000</f>
        <v>#REF!</v>
      </c>
    </row>
    <row r="109" spans="1:7" s="65" customFormat="1" ht="12.75">
      <c r="A109" s="79"/>
      <c r="B109" s="79"/>
      <c r="C109" s="79"/>
      <c r="D109" s="79"/>
      <c r="E109" s="79"/>
      <c r="F109" s="79"/>
      <c r="G109" s="79"/>
    </row>
    <row r="110" spans="1:8" s="65" customFormat="1" ht="15.75">
      <c r="A110" s="80" t="s">
        <v>147</v>
      </c>
      <c r="B110" s="80"/>
      <c r="C110" s="80"/>
      <c r="D110" s="80"/>
      <c r="E110" s="80"/>
      <c r="F110" s="80"/>
      <c r="G110" s="80"/>
      <c r="H110" s="78">
        <f>K17</f>
        <v>11557.172135805835</v>
      </c>
    </row>
    <row r="111" spans="1:8" s="65" customFormat="1" ht="12.75">
      <c r="A111" s="79"/>
      <c r="B111" s="79"/>
      <c r="C111" s="79"/>
      <c r="D111" s="79"/>
      <c r="E111" s="79"/>
      <c r="F111" s="79"/>
      <c r="G111" s="79"/>
      <c r="H111" s="78"/>
    </row>
    <row r="112" spans="1:8" s="65" customFormat="1" ht="15.75">
      <c r="A112" s="105" t="s">
        <v>95</v>
      </c>
      <c r="B112" s="105"/>
      <c r="C112" s="105"/>
      <c r="D112" s="105"/>
      <c r="E112" s="105"/>
      <c r="F112" s="80"/>
      <c r="G112" s="80"/>
      <c r="H112" s="78">
        <f>K30</f>
        <v>9443.782707777777</v>
      </c>
    </row>
    <row r="113" spans="1:8" s="65" customFormat="1" ht="12.75">
      <c r="A113" s="79"/>
      <c r="B113" s="79"/>
      <c r="C113" s="79"/>
      <c r="D113" s="79"/>
      <c r="E113" s="79"/>
      <c r="F113" s="79"/>
      <c r="G113" s="79"/>
      <c r="H113" s="78"/>
    </row>
    <row r="114" spans="1:8" s="65" customFormat="1" ht="15.75">
      <c r="A114" s="105" t="s">
        <v>148</v>
      </c>
      <c r="B114" s="105"/>
      <c r="C114" s="105"/>
      <c r="D114" s="105"/>
      <c r="E114" s="105"/>
      <c r="F114" s="105"/>
      <c r="G114" s="105"/>
      <c r="H114" s="81" t="e">
        <f>#REF!</f>
        <v>#REF!</v>
      </c>
    </row>
    <row r="115" spans="1:8" s="65" customFormat="1" ht="12.75">
      <c r="A115" s="79"/>
      <c r="B115" s="79"/>
      <c r="C115" s="79"/>
      <c r="D115" s="79"/>
      <c r="E115" s="79"/>
      <c r="F115" s="79"/>
      <c r="G115" s="79"/>
      <c r="H115" s="82"/>
    </row>
    <row r="116" spans="1:8" s="65" customFormat="1" ht="15.75">
      <c r="A116" s="80" t="s">
        <v>111</v>
      </c>
      <c r="B116" s="80"/>
      <c r="C116" s="80"/>
      <c r="D116" s="80"/>
      <c r="E116" s="80"/>
      <c r="F116" s="80"/>
      <c r="G116" s="80"/>
      <c r="H116" s="82" t="e">
        <f>M46</f>
        <v>#REF!</v>
      </c>
    </row>
    <row r="117" spans="1:8" s="65" customFormat="1" ht="12.75">
      <c r="A117" s="79"/>
      <c r="B117" s="79"/>
      <c r="C117" s="79"/>
      <c r="D117" s="79"/>
      <c r="E117" s="79"/>
      <c r="F117" s="79"/>
      <c r="G117" s="79"/>
      <c r="H117" s="82"/>
    </row>
    <row r="118" spans="1:8" s="65" customFormat="1" ht="15.75">
      <c r="A118" s="105" t="s">
        <v>149</v>
      </c>
      <c r="B118" s="105"/>
      <c r="C118" s="105"/>
      <c r="D118" s="105"/>
      <c r="E118" s="80"/>
      <c r="F118" s="80"/>
      <c r="G118" s="80"/>
      <c r="H118" s="81" t="e">
        <f>M59</f>
        <v>#REF!</v>
      </c>
    </row>
    <row r="119" spans="1:8" s="65" customFormat="1" ht="12.75">
      <c r="A119" s="79"/>
      <c r="B119" s="79"/>
      <c r="C119" s="79"/>
      <c r="D119" s="79"/>
      <c r="E119" s="79"/>
      <c r="F119" s="79"/>
      <c r="G119" s="79"/>
      <c r="H119" s="82"/>
    </row>
    <row r="120" spans="1:8" s="65" customFormat="1" ht="15.75">
      <c r="A120" s="83" t="s">
        <v>127</v>
      </c>
      <c r="B120" s="83"/>
      <c r="C120" s="83"/>
      <c r="D120" s="83"/>
      <c r="E120" s="83"/>
      <c r="F120" s="83"/>
      <c r="G120" s="83"/>
      <c r="H120" s="81" t="e">
        <f>M66</f>
        <v>#REF!</v>
      </c>
    </row>
    <row r="121" spans="1:8" s="65" customFormat="1" ht="12.75">
      <c r="A121" s="79"/>
      <c r="B121" s="79"/>
      <c r="C121" s="79"/>
      <c r="D121" s="79"/>
      <c r="E121" s="79"/>
      <c r="F121" s="79"/>
      <c r="G121" s="79"/>
      <c r="H121" s="82"/>
    </row>
    <row r="122" spans="1:8" s="65" customFormat="1" ht="15.75">
      <c r="A122" s="80" t="s">
        <v>150</v>
      </c>
      <c r="B122" s="80"/>
      <c r="C122" s="80"/>
      <c r="D122" s="80"/>
      <c r="E122" s="80"/>
      <c r="F122" s="84"/>
      <c r="G122" s="84"/>
      <c r="H122" s="81" t="e">
        <f>L76</f>
        <v>#REF!</v>
      </c>
    </row>
    <row r="123" s="65" customFormat="1" ht="12.75"/>
    <row r="124" s="65" customFormat="1" ht="12.75"/>
    <row r="125" s="65" customFormat="1" ht="12.75">
      <c r="H125" s="65" t="s">
        <v>151</v>
      </c>
    </row>
    <row r="126" s="65" customFormat="1" ht="12.75">
      <c r="H126" s="65" t="s">
        <v>146</v>
      </c>
    </row>
    <row r="127" s="65" customFormat="1" ht="12.75">
      <c r="H127" s="65" t="s">
        <v>152</v>
      </c>
    </row>
    <row r="128" s="65" customFormat="1" ht="12.75"/>
    <row r="129" s="65" customFormat="1" ht="12.75"/>
    <row r="130" s="65" customFormat="1" ht="12.75">
      <c r="F130" s="65" t="s">
        <v>153</v>
      </c>
    </row>
    <row r="131" s="65" customFormat="1" ht="12.75">
      <c r="D131" s="65" t="s">
        <v>154</v>
      </c>
    </row>
    <row r="132" s="65" customFormat="1" ht="12.75">
      <c r="D132" s="65" t="s">
        <v>155</v>
      </c>
    </row>
    <row r="133" spans="6:13" s="65" customFormat="1" ht="12.75">
      <c r="F133" s="65" t="s">
        <v>156</v>
      </c>
      <c r="M133" s="65" t="s">
        <v>157</v>
      </c>
    </row>
    <row r="134" s="65" customFormat="1" ht="12.75">
      <c r="M134" s="65" t="s">
        <v>158</v>
      </c>
    </row>
    <row r="135" spans="1:13" s="65" customFormat="1" ht="12.75">
      <c r="A135" s="65" t="s">
        <v>159</v>
      </c>
      <c r="B135" s="65" t="s">
        <v>160</v>
      </c>
      <c r="D135" s="65" t="s">
        <v>161</v>
      </c>
      <c r="F135" s="65" t="s">
        <v>162</v>
      </c>
      <c r="G135" s="65" t="s">
        <v>163</v>
      </c>
      <c r="H135" s="65" t="s">
        <v>164</v>
      </c>
      <c r="J135" s="65" t="s">
        <v>165</v>
      </c>
      <c r="M135" s="73" t="s">
        <v>166</v>
      </c>
    </row>
    <row r="136" spans="1:14" s="65" customFormat="1" ht="12.75">
      <c r="A136" s="65" t="s">
        <v>167</v>
      </c>
      <c r="B136" s="65" t="s">
        <v>168</v>
      </c>
      <c r="D136" s="65" t="s">
        <v>169</v>
      </c>
      <c r="F136" s="65" t="s">
        <v>170</v>
      </c>
      <c r="G136" s="65" t="s">
        <v>171</v>
      </c>
      <c r="H136" s="65" t="s">
        <v>172</v>
      </c>
      <c r="J136" s="65" t="s">
        <v>173</v>
      </c>
      <c r="M136" s="65" t="s">
        <v>174</v>
      </c>
      <c r="N136" s="65">
        <v>6170.9</v>
      </c>
    </row>
    <row r="137" spans="8:9" s="65" customFormat="1" ht="12.75">
      <c r="H137" s="65" t="s">
        <v>175</v>
      </c>
      <c r="I137" s="65" t="s">
        <v>176</v>
      </c>
    </row>
    <row r="138" spans="8:13" s="65" customFormat="1" ht="12.75">
      <c r="H138" s="65" t="s">
        <v>170</v>
      </c>
      <c r="I138" s="65" t="s">
        <v>177</v>
      </c>
      <c r="M138" s="65" t="s">
        <v>178</v>
      </c>
    </row>
    <row r="139" spans="9:13" s="65" customFormat="1" ht="12.75">
      <c r="I139" s="65" t="s">
        <v>179</v>
      </c>
      <c r="M139" s="65" t="s">
        <v>158</v>
      </c>
    </row>
    <row r="140" s="65" customFormat="1" ht="12.75">
      <c r="M140" s="73" t="s">
        <v>166</v>
      </c>
    </row>
    <row r="141" spans="1:14" s="65" customFormat="1" ht="12.75">
      <c r="A141" s="65" t="s">
        <v>180</v>
      </c>
      <c r="B141" s="65" t="s">
        <v>181</v>
      </c>
      <c r="D141" s="65" t="s">
        <v>182</v>
      </c>
      <c r="M141" s="65" t="s">
        <v>174</v>
      </c>
      <c r="N141" s="65">
        <v>1460.2</v>
      </c>
    </row>
    <row r="142" spans="2:4" s="65" customFormat="1" ht="12.75">
      <c r="B142" s="65" t="s">
        <v>183</v>
      </c>
      <c r="D142" s="65" t="s">
        <v>184</v>
      </c>
    </row>
    <row r="143" spans="2:13" s="65" customFormat="1" ht="12.75">
      <c r="B143" s="65" t="s">
        <v>185</v>
      </c>
      <c r="D143" s="65" t="s">
        <v>186</v>
      </c>
      <c r="M143" s="65" t="s">
        <v>187</v>
      </c>
    </row>
    <row r="144" spans="2:13" s="65" customFormat="1" ht="12.75">
      <c r="B144" s="65" t="s">
        <v>188</v>
      </c>
      <c r="D144" s="65" t="s">
        <v>189</v>
      </c>
      <c r="M144" s="65" t="s">
        <v>158</v>
      </c>
    </row>
    <row r="145" spans="2:13" s="65" customFormat="1" ht="12.75">
      <c r="B145" s="65" t="s">
        <v>190</v>
      </c>
      <c r="M145" s="73" t="s">
        <v>166</v>
      </c>
    </row>
    <row r="146" spans="4:14" s="65" customFormat="1" ht="12.75">
      <c r="D146" s="65" t="s">
        <v>191</v>
      </c>
      <c r="M146" s="65" t="s">
        <v>174</v>
      </c>
      <c r="N146" s="65">
        <v>1168.2</v>
      </c>
    </row>
    <row r="147" spans="4:6" s="65" customFormat="1" ht="12.75">
      <c r="D147" s="65" t="s">
        <v>192</v>
      </c>
      <c r="F147" s="65" t="s">
        <v>193</v>
      </c>
    </row>
    <row r="148" spans="4:13" s="65" customFormat="1" ht="12.75">
      <c r="D148" s="65" t="s">
        <v>158</v>
      </c>
      <c r="F148" s="65" t="s">
        <v>194</v>
      </c>
      <c r="H148" s="65">
        <v>0.0687</v>
      </c>
      <c r="I148" s="65">
        <v>0</v>
      </c>
      <c r="K148" s="65">
        <f>N139/1000*H148</f>
        <v>0</v>
      </c>
      <c r="M148" s="65" t="s">
        <v>195</v>
      </c>
    </row>
    <row r="149" spans="4:13" s="65" customFormat="1" ht="12.75">
      <c r="D149" s="65" t="s">
        <v>196</v>
      </c>
      <c r="F149" s="65" t="s">
        <v>197</v>
      </c>
      <c r="H149" s="65">
        <v>0.0763</v>
      </c>
      <c r="I149" s="65">
        <v>0</v>
      </c>
      <c r="K149" s="65">
        <f>N140/1000*H149</f>
        <v>0</v>
      </c>
      <c r="M149" s="65" t="s">
        <v>158</v>
      </c>
    </row>
    <row r="150" spans="4:13" s="65" customFormat="1" ht="12.75">
      <c r="D150" s="65" t="s">
        <v>198</v>
      </c>
      <c r="F150" s="65" t="s">
        <v>199</v>
      </c>
      <c r="H150" s="65">
        <v>0.0839</v>
      </c>
      <c r="I150" s="65">
        <v>0</v>
      </c>
      <c r="K150" s="69">
        <f>N141/1000*H150</f>
        <v>0.12251078</v>
      </c>
      <c r="M150" s="73" t="s">
        <v>166</v>
      </c>
    </row>
    <row r="151" spans="6:13" s="65" customFormat="1" ht="12.75">
      <c r="F151" s="65" t="s">
        <v>200</v>
      </c>
      <c r="M151" s="65" t="s">
        <v>174</v>
      </c>
    </row>
    <row r="152" s="65" customFormat="1" ht="12.75">
      <c r="F152" s="65" t="s">
        <v>190</v>
      </c>
    </row>
    <row r="153" spans="5:9" s="65" customFormat="1" ht="12.75">
      <c r="E153" s="65" t="s">
        <v>201</v>
      </c>
      <c r="I153" s="65">
        <v>0</v>
      </c>
    </row>
    <row r="154" spans="2:4" s="65" customFormat="1" ht="12.75">
      <c r="B154" s="65" t="s">
        <v>202</v>
      </c>
      <c r="D154" s="65" t="s">
        <v>203</v>
      </c>
    </row>
    <row r="155" s="65" customFormat="1" ht="12.75">
      <c r="D155" s="65" t="s">
        <v>204</v>
      </c>
    </row>
    <row r="156" s="65" customFormat="1" ht="12.75">
      <c r="D156" s="65" t="s">
        <v>205</v>
      </c>
    </row>
    <row r="157" s="65" customFormat="1" ht="12.75">
      <c r="D157" s="65" t="s">
        <v>191</v>
      </c>
    </row>
    <row r="158" spans="4:11" s="65" customFormat="1" ht="12.75">
      <c r="D158" s="65" t="s">
        <v>158</v>
      </c>
      <c r="H158" s="65">
        <v>0.00338</v>
      </c>
      <c r="K158" s="69">
        <f>N162/1000*H158</f>
        <v>0</v>
      </c>
    </row>
    <row r="159" spans="4:11" s="65" customFormat="1" ht="12.75">
      <c r="D159" s="65" t="s">
        <v>196</v>
      </c>
      <c r="H159" s="65">
        <v>0.00376</v>
      </c>
      <c r="K159" s="69">
        <f>N163/1000*H159</f>
        <v>0</v>
      </c>
    </row>
    <row r="160" spans="4:11" s="65" customFormat="1" ht="12.75">
      <c r="D160" s="65" t="s">
        <v>198</v>
      </c>
      <c r="H160" s="65">
        <v>0.00414</v>
      </c>
      <c r="K160" s="69">
        <f>N164/1000*H160</f>
        <v>0.025547525999999997</v>
      </c>
    </row>
    <row r="161" s="65" customFormat="1" ht="12.75">
      <c r="M161" s="65" t="s">
        <v>206</v>
      </c>
    </row>
    <row r="162" spans="1:13" s="65" customFormat="1" ht="12.75">
      <c r="A162" s="65" t="s">
        <v>207</v>
      </c>
      <c r="B162" s="65" t="s">
        <v>208</v>
      </c>
      <c r="D162" s="65" t="s">
        <v>203</v>
      </c>
      <c r="M162" s="65" t="s">
        <v>158</v>
      </c>
    </row>
    <row r="163" spans="4:13" s="65" customFormat="1" ht="12.75">
      <c r="D163" s="65" t="s">
        <v>209</v>
      </c>
      <c r="M163" s="73" t="s">
        <v>166</v>
      </c>
    </row>
    <row r="164" spans="4:14" s="65" customFormat="1" ht="12.75">
      <c r="D164" s="65" t="s">
        <v>191</v>
      </c>
      <c r="M164" s="65" t="s">
        <v>174</v>
      </c>
      <c r="N164" s="65">
        <f>N136</f>
        <v>6170.9</v>
      </c>
    </row>
    <row r="165" spans="4:11" s="65" customFormat="1" ht="12.75">
      <c r="D165" s="65" t="s">
        <v>158</v>
      </c>
      <c r="H165" s="65">
        <v>0.02043</v>
      </c>
      <c r="I165" s="65">
        <v>0</v>
      </c>
      <c r="K165" s="65">
        <f>N149/1000*H165</f>
        <v>0</v>
      </c>
    </row>
    <row r="166" spans="4:13" s="65" customFormat="1" ht="12.75">
      <c r="D166" s="65" t="s">
        <v>196</v>
      </c>
      <c r="H166" s="65">
        <v>0.0227</v>
      </c>
      <c r="I166" s="65">
        <v>0</v>
      </c>
      <c r="K166" s="65">
        <f>N150/1000*H166</f>
        <v>0</v>
      </c>
      <c r="M166" s="65" t="s">
        <v>210</v>
      </c>
    </row>
    <row r="167" spans="4:13" s="65" customFormat="1" ht="12.75">
      <c r="D167" s="65" t="s">
        <v>198</v>
      </c>
      <c r="H167" s="65">
        <v>0.02497</v>
      </c>
      <c r="I167" s="65">
        <v>0</v>
      </c>
      <c r="K167" s="65">
        <f>N151/1000*H167</f>
        <v>0</v>
      </c>
      <c r="M167" s="65" t="s">
        <v>158</v>
      </c>
    </row>
    <row r="168" spans="4:13" s="65" customFormat="1" ht="12.75">
      <c r="D168" s="65" t="s">
        <v>211</v>
      </c>
      <c r="M168" s="73" t="s">
        <v>166</v>
      </c>
    </row>
    <row r="169" spans="4:14" s="65" customFormat="1" ht="12.75">
      <c r="D169" s="65" t="s">
        <v>191</v>
      </c>
      <c r="M169" s="65" t="s">
        <v>174</v>
      </c>
      <c r="N169" s="65">
        <v>116</v>
      </c>
    </row>
    <row r="170" spans="4:6" s="65" customFormat="1" ht="12.75">
      <c r="D170" s="65" t="s">
        <v>192</v>
      </c>
      <c r="F170" s="65" t="s">
        <v>193</v>
      </c>
    </row>
    <row r="171" spans="4:11" s="65" customFormat="1" ht="12.75">
      <c r="D171" s="65" t="s">
        <v>158</v>
      </c>
      <c r="H171" s="65">
        <v>0.00999</v>
      </c>
      <c r="K171" s="69">
        <f>N134/1000*H171</f>
        <v>0</v>
      </c>
    </row>
    <row r="172" spans="4:11" s="65" customFormat="1" ht="12.75">
      <c r="D172" s="65" t="s">
        <v>196</v>
      </c>
      <c r="H172" s="65">
        <v>0.0111</v>
      </c>
      <c r="K172" s="69">
        <f>N135/1000*H172</f>
        <v>0</v>
      </c>
    </row>
    <row r="173" spans="4:11" s="65" customFormat="1" ht="12.75">
      <c r="D173" s="65" t="s">
        <v>198</v>
      </c>
      <c r="H173" s="65">
        <v>0.01221</v>
      </c>
      <c r="I173" s="65">
        <v>0</v>
      </c>
      <c r="K173" s="69">
        <f>N136/1000*H173</f>
        <v>0.075346689</v>
      </c>
    </row>
    <row r="174" s="65" customFormat="1" ht="12.75">
      <c r="I174" s="65">
        <v>0</v>
      </c>
    </row>
    <row r="175" spans="5:9" s="65" customFormat="1" ht="12.75">
      <c r="E175" s="65" t="s">
        <v>201</v>
      </c>
      <c r="G175" s="65">
        <v>0</v>
      </c>
      <c r="I175" s="65">
        <v>0</v>
      </c>
    </row>
    <row r="176" spans="1:6" s="65" customFormat="1" ht="12.75">
      <c r="A176" s="65" t="s">
        <v>212</v>
      </c>
      <c r="B176" s="65" t="s">
        <v>213</v>
      </c>
      <c r="D176" s="65" t="s">
        <v>203</v>
      </c>
      <c r="F176" s="65" t="s">
        <v>193</v>
      </c>
    </row>
    <row r="177" spans="2:6" s="65" customFormat="1" ht="12.75">
      <c r="B177" s="65" t="s">
        <v>214</v>
      </c>
      <c r="D177" s="65" t="s">
        <v>209</v>
      </c>
      <c r="F177" s="65" t="s">
        <v>215</v>
      </c>
    </row>
    <row r="178" spans="4:6" s="65" customFormat="1" ht="12.75">
      <c r="D178" s="65" t="s">
        <v>191</v>
      </c>
      <c r="F178" s="65" t="s">
        <v>216</v>
      </c>
    </row>
    <row r="179" spans="4:11" s="65" customFormat="1" ht="12.75">
      <c r="D179" s="65" t="s">
        <v>158</v>
      </c>
      <c r="H179" s="65">
        <v>0.018432</v>
      </c>
      <c r="I179" s="65">
        <v>0</v>
      </c>
      <c r="K179" s="65">
        <f>N149/1000*H179</f>
        <v>0</v>
      </c>
    </row>
    <row r="180" spans="4:11" s="65" customFormat="1" ht="12.75">
      <c r="D180" s="65" t="s">
        <v>196</v>
      </c>
      <c r="H180" s="65">
        <v>0.02048</v>
      </c>
      <c r="I180" s="65">
        <v>0</v>
      </c>
      <c r="K180" s="65">
        <f>N150/1000*H180</f>
        <v>0</v>
      </c>
    </row>
    <row r="181" spans="4:11" s="65" customFormat="1" ht="12.75">
      <c r="D181" s="65" t="s">
        <v>198</v>
      </c>
      <c r="K181" s="65">
        <f>N151/1000*H181</f>
        <v>0</v>
      </c>
    </row>
    <row r="182" s="65" customFormat="1" ht="12.75">
      <c r="D182" s="65" t="s">
        <v>211</v>
      </c>
    </row>
    <row r="183" s="65" customFormat="1" ht="12.75">
      <c r="D183" s="65" t="s">
        <v>191</v>
      </c>
    </row>
    <row r="184" s="65" customFormat="1" ht="12.75">
      <c r="D184" s="65" t="s">
        <v>192</v>
      </c>
    </row>
    <row r="185" spans="4:11" s="65" customFormat="1" ht="12.75">
      <c r="D185" s="65" t="s">
        <v>158</v>
      </c>
      <c r="K185" s="69">
        <f>N134/1000*H185</f>
        <v>0</v>
      </c>
    </row>
    <row r="186" spans="4:11" s="65" customFormat="1" ht="12.75">
      <c r="D186" s="65" t="s">
        <v>196</v>
      </c>
      <c r="H186" s="65">
        <v>0.02295</v>
      </c>
      <c r="I186" s="65">
        <v>0</v>
      </c>
      <c r="K186" s="69">
        <f>N135/1000*H186</f>
        <v>0</v>
      </c>
    </row>
    <row r="187" spans="4:11" s="65" customFormat="1" ht="12.75">
      <c r="D187" s="65" t="s">
        <v>198</v>
      </c>
      <c r="H187" s="65">
        <v>0.025245</v>
      </c>
      <c r="I187" s="65">
        <v>0</v>
      </c>
      <c r="K187" s="69">
        <f>N136/1000*H187</f>
        <v>0.1557843705</v>
      </c>
    </row>
    <row r="188" spans="5:11" s="65" customFormat="1" ht="12.75">
      <c r="E188" s="65" t="s">
        <v>201</v>
      </c>
      <c r="G188" s="65">
        <v>0</v>
      </c>
      <c r="I188" s="65">
        <v>0</v>
      </c>
      <c r="K188" s="69"/>
    </row>
    <row r="189" s="65" customFormat="1" ht="12.75">
      <c r="K189" s="69"/>
    </row>
    <row r="190" spans="1:11" s="65" customFormat="1" ht="12.75">
      <c r="A190" s="65" t="s">
        <v>217</v>
      </c>
      <c r="B190" s="65" t="s">
        <v>218</v>
      </c>
      <c r="D190" s="65" t="s">
        <v>203</v>
      </c>
      <c r="K190" s="69"/>
    </row>
    <row r="191" spans="4:11" s="65" customFormat="1" ht="12.75">
      <c r="D191" s="65" t="s">
        <v>209</v>
      </c>
      <c r="K191" s="69"/>
    </row>
    <row r="192" spans="4:11" s="65" customFormat="1" ht="12.75">
      <c r="D192" s="65" t="s">
        <v>191</v>
      </c>
      <c r="K192" s="69"/>
    </row>
    <row r="193" spans="4:11" s="65" customFormat="1" ht="12.75">
      <c r="D193" s="65" t="s">
        <v>158</v>
      </c>
      <c r="H193" s="65">
        <v>0.027585</v>
      </c>
      <c r="I193" s="65">
        <v>0</v>
      </c>
      <c r="K193" s="69">
        <f>N149/1000*H193</f>
        <v>0</v>
      </c>
    </row>
    <row r="194" spans="4:11" s="65" customFormat="1" ht="12.75">
      <c r="D194" s="65" t="s">
        <v>196</v>
      </c>
      <c r="H194" s="65">
        <v>0.3065</v>
      </c>
      <c r="I194" s="65">
        <v>0</v>
      </c>
      <c r="K194" s="69">
        <f>N150/1000*H194</f>
        <v>0</v>
      </c>
    </row>
    <row r="195" spans="4:11" s="65" customFormat="1" ht="12.75">
      <c r="D195" s="65" t="s">
        <v>198</v>
      </c>
      <c r="K195" s="69">
        <f>N151/1000*H195</f>
        <v>0</v>
      </c>
    </row>
    <row r="196" spans="4:11" s="65" customFormat="1" ht="12.75">
      <c r="D196" s="65" t="s">
        <v>211</v>
      </c>
      <c r="K196" s="69"/>
    </row>
    <row r="197" spans="4:11" s="65" customFormat="1" ht="12.75">
      <c r="D197" s="65" t="s">
        <v>191</v>
      </c>
      <c r="K197" s="69"/>
    </row>
    <row r="198" spans="4:11" s="65" customFormat="1" ht="12.75">
      <c r="D198" s="65" t="s">
        <v>192</v>
      </c>
      <c r="K198" s="69"/>
    </row>
    <row r="199" spans="4:11" s="65" customFormat="1" ht="12.75">
      <c r="D199" s="65" t="s">
        <v>158</v>
      </c>
      <c r="K199" s="69">
        <f>N134/1000*H199</f>
        <v>0</v>
      </c>
    </row>
    <row r="200" spans="4:11" s="65" customFormat="1" ht="12.75">
      <c r="D200" s="65" t="s">
        <v>196</v>
      </c>
      <c r="H200" s="65">
        <v>0.00539</v>
      </c>
      <c r="I200" s="65">
        <v>0</v>
      </c>
      <c r="K200" s="69">
        <f>N135/1000*H200</f>
        <v>0</v>
      </c>
    </row>
    <row r="201" spans="4:11" s="65" customFormat="1" ht="12.75">
      <c r="D201" s="65" t="s">
        <v>198</v>
      </c>
      <c r="H201" s="65">
        <v>0.005929</v>
      </c>
      <c r="I201" s="65">
        <v>0</v>
      </c>
      <c r="K201" s="69">
        <f>N136/1000*H201</f>
        <v>0.0365872661</v>
      </c>
    </row>
    <row r="202" spans="5:11" s="65" customFormat="1" ht="12.75">
      <c r="E202" s="65" t="s">
        <v>201</v>
      </c>
      <c r="G202" s="65">
        <v>0</v>
      </c>
      <c r="I202" s="65">
        <v>0</v>
      </c>
      <c r="K202" s="69"/>
    </row>
    <row r="203" s="65" customFormat="1" ht="12.75">
      <c r="K203" s="69"/>
    </row>
    <row r="204" spans="1:11" s="65" customFormat="1" ht="12.75">
      <c r="A204" s="65" t="s">
        <v>219</v>
      </c>
      <c r="B204" s="65" t="s">
        <v>220</v>
      </c>
      <c r="D204" s="65" t="s">
        <v>203</v>
      </c>
      <c r="K204" s="69"/>
    </row>
    <row r="205" spans="2:11" s="65" customFormat="1" ht="12.75">
      <c r="B205" s="65" t="s">
        <v>214</v>
      </c>
      <c r="D205" s="65" t="s">
        <v>209</v>
      </c>
      <c r="K205" s="69"/>
    </row>
    <row r="206" spans="4:11" s="65" customFormat="1" ht="12.75">
      <c r="D206" s="65" t="s">
        <v>191</v>
      </c>
      <c r="K206" s="69"/>
    </row>
    <row r="207" spans="4:11" s="65" customFormat="1" ht="12.75">
      <c r="D207" s="65" t="s">
        <v>158</v>
      </c>
      <c r="H207" s="65">
        <v>0.022437</v>
      </c>
      <c r="I207" s="65">
        <v>0</v>
      </c>
      <c r="K207" s="69">
        <f>N149/1000*H207</f>
        <v>0</v>
      </c>
    </row>
    <row r="208" spans="4:11" s="65" customFormat="1" ht="12.75">
      <c r="D208" s="65" t="s">
        <v>196</v>
      </c>
      <c r="H208" s="65">
        <v>0.02493</v>
      </c>
      <c r="I208" s="65">
        <v>0</v>
      </c>
      <c r="K208" s="69">
        <f>N150/1000*H208</f>
        <v>0</v>
      </c>
    </row>
    <row r="209" spans="4:11" s="65" customFormat="1" ht="12.75">
      <c r="D209" s="65" t="s">
        <v>198</v>
      </c>
      <c r="K209" s="65">
        <f>N151/1000*H209</f>
        <v>0</v>
      </c>
    </row>
    <row r="210" s="65" customFormat="1" ht="12.75">
      <c r="D210" s="65" t="s">
        <v>211</v>
      </c>
    </row>
    <row r="211" s="65" customFormat="1" ht="12.75">
      <c r="D211" s="65" t="s">
        <v>191</v>
      </c>
    </row>
    <row r="212" s="65" customFormat="1" ht="12.75">
      <c r="D212" s="65" t="s">
        <v>192</v>
      </c>
    </row>
    <row r="213" spans="4:11" s="65" customFormat="1" ht="12.75">
      <c r="D213" s="65" t="s">
        <v>158</v>
      </c>
      <c r="K213" s="69">
        <f>N134/1000*H213</f>
        <v>0</v>
      </c>
    </row>
    <row r="214" spans="4:11" s="65" customFormat="1" ht="12.75">
      <c r="D214" s="65" t="s">
        <v>196</v>
      </c>
      <c r="H214" s="65">
        <v>0.00888</v>
      </c>
      <c r="I214" s="65">
        <v>0</v>
      </c>
      <c r="K214" s="69">
        <f>N135/1000*H214</f>
        <v>0</v>
      </c>
    </row>
    <row r="215" spans="4:11" s="65" customFormat="1" ht="12.75">
      <c r="D215" s="65" t="s">
        <v>198</v>
      </c>
      <c r="H215" s="65">
        <v>0.009768</v>
      </c>
      <c r="I215" s="65">
        <v>0</v>
      </c>
      <c r="K215" s="69">
        <f>N136/1000*H215</f>
        <v>0.0602773512</v>
      </c>
    </row>
    <row r="216" spans="5:11" s="65" customFormat="1" ht="12.75">
      <c r="E216" s="65" t="s">
        <v>201</v>
      </c>
      <c r="G216" s="65">
        <v>0</v>
      </c>
      <c r="I216" s="65">
        <v>0</v>
      </c>
      <c r="K216" s="69"/>
    </row>
    <row r="217" s="65" customFormat="1" ht="12.75">
      <c r="K217" s="69"/>
    </row>
    <row r="218" spans="2:4" s="65" customFormat="1" ht="12.75">
      <c r="B218" s="65" t="s">
        <v>221</v>
      </c>
      <c r="D218" s="65" t="s">
        <v>203</v>
      </c>
    </row>
    <row r="219" s="65" customFormat="1" ht="12.75">
      <c r="D219" s="65" t="s">
        <v>204</v>
      </c>
    </row>
    <row r="220" s="65" customFormat="1" ht="12.75">
      <c r="D220" s="65" t="s">
        <v>205</v>
      </c>
    </row>
    <row r="221" s="65" customFormat="1" ht="12.75">
      <c r="D221" s="65" t="s">
        <v>191</v>
      </c>
    </row>
    <row r="222" spans="4:11" s="65" customFormat="1" ht="12.75">
      <c r="D222" s="65" t="s">
        <v>158</v>
      </c>
      <c r="H222" s="65">
        <v>0.0243</v>
      </c>
      <c r="K222" s="69">
        <f>N162/1000*H222</f>
        <v>0</v>
      </c>
    </row>
    <row r="223" spans="4:11" s="65" customFormat="1" ht="12.75">
      <c r="D223" s="65" t="s">
        <v>196</v>
      </c>
      <c r="H223" s="65">
        <v>0.027</v>
      </c>
      <c r="K223" s="69">
        <f>N163/1000*H223</f>
        <v>0</v>
      </c>
    </row>
    <row r="224" spans="4:11" s="65" customFormat="1" ht="12.75">
      <c r="D224" s="65" t="s">
        <v>198</v>
      </c>
      <c r="H224" s="65">
        <v>0.0297</v>
      </c>
      <c r="K224" s="69">
        <f>N164/1000*H224</f>
        <v>0.18327573</v>
      </c>
    </row>
    <row r="225" spans="1:11" s="65" customFormat="1" ht="12.75">
      <c r="A225" s="65" t="s">
        <v>222</v>
      </c>
      <c r="B225" s="65" t="s">
        <v>223</v>
      </c>
      <c r="D225" s="65" t="s">
        <v>203</v>
      </c>
      <c r="K225" s="69"/>
    </row>
    <row r="226" spans="4:11" s="65" customFormat="1" ht="12.75">
      <c r="D226" s="65" t="s">
        <v>209</v>
      </c>
      <c r="K226" s="69"/>
    </row>
    <row r="227" spans="4:11" s="65" customFormat="1" ht="12.75">
      <c r="D227" s="65" t="s">
        <v>191</v>
      </c>
      <c r="K227" s="69"/>
    </row>
    <row r="228" spans="4:11" s="65" customFormat="1" ht="12.75">
      <c r="D228" s="65" t="s">
        <v>158</v>
      </c>
      <c r="H228" s="65">
        <v>0.01773</v>
      </c>
      <c r="I228" s="65">
        <v>0</v>
      </c>
      <c r="K228" s="69">
        <f>N149/1000*H228</f>
        <v>0</v>
      </c>
    </row>
    <row r="229" spans="4:11" s="65" customFormat="1" ht="12.75">
      <c r="D229" s="65" t="s">
        <v>196</v>
      </c>
      <c r="H229" s="65">
        <v>0.0197</v>
      </c>
      <c r="I229" s="65">
        <v>0</v>
      </c>
      <c r="K229" s="69">
        <f>N150/1000*H229</f>
        <v>0</v>
      </c>
    </row>
    <row r="230" spans="4:11" s="65" customFormat="1" ht="12.75">
      <c r="D230" s="65" t="s">
        <v>198</v>
      </c>
      <c r="K230" s="69">
        <f>N151/1000*H230</f>
        <v>0</v>
      </c>
    </row>
    <row r="231" spans="4:11" s="65" customFormat="1" ht="12.75">
      <c r="D231" s="65" t="s">
        <v>211</v>
      </c>
      <c r="K231" s="69"/>
    </row>
    <row r="232" spans="4:11" s="65" customFormat="1" ht="12.75">
      <c r="D232" s="65" t="s">
        <v>191</v>
      </c>
      <c r="K232" s="69"/>
    </row>
    <row r="233" spans="4:11" s="65" customFormat="1" ht="12.75">
      <c r="D233" s="65" t="s">
        <v>192</v>
      </c>
      <c r="K233" s="69"/>
    </row>
    <row r="234" spans="4:11" s="65" customFormat="1" ht="12.75">
      <c r="D234" s="65" t="s">
        <v>158</v>
      </c>
      <c r="K234" s="69">
        <f>N134/1000*H234</f>
        <v>0</v>
      </c>
    </row>
    <row r="235" spans="4:11" s="65" customFormat="1" ht="12.75">
      <c r="D235" s="65" t="s">
        <v>196</v>
      </c>
      <c r="H235" s="65">
        <v>0.0018</v>
      </c>
      <c r="I235" s="65">
        <v>0</v>
      </c>
      <c r="K235" s="69">
        <f>N135/1000*H235</f>
        <v>0</v>
      </c>
    </row>
    <row r="236" spans="4:11" s="65" customFormat="1" ht="12.75">
      <c r="D236" s="65" t="s">
        <v>198</v>
      </c>
      <c r="H236" s="65">
        <v>0.00198</v>
      </c>
      <c r="I236" s="65">
        <v>0</v>
      </c>
      <c r="K236" s="69">
        <f>N136/1000*H236</f>
        <v>0.012218382</v>
      </c>
    </row>
    <row r="237" spans="5:11" s="65" customFormat="1" ht="12.75">
      <c r="E237" s="65" t="s">
        <v>201</v>
      </c>
      <c r="G237" s="65">
        <v>0</v>
      </c>
      <c r="I237" s="65">
        <v>0</v>
      </c>
      <c r="K237" s="69"/>
    </row>
    <row r="238" s="65" customFormat="1" ht="12.75">
      <c r="K238" s="69"/>
    </row>
    <row r="239" spans="2:7" s="65" customFormat="1" ht="12.75">
      <c r="B239" s="65" t="s">
        <v>224</v>
      </c>
      <c r="D239" s="65" t="s">
        <v>203</v>
      </c>
      <c r="G239" s="65" t="s">
        <v>225</v>
      </c>
    </row>
    <row r="240" spans="4:7" s="65" customFormat="1" ht="12.75">
      <c r="D240" s="65" t="s">
        <v>204</v>
      </c>
      <c r="G240" s="65" t="s">
        <v>226</v>
      </c>
    </row>
    <row r="241" spans="4:7" s="65" customFormat="1" ht="12.75">
      <c r="D241" s="65" t="s">
        <v>205</v>
      </c>
      <c r="G241" s="65" t="s">
        <v>227</v>
      </c>
    </row>
    <row r="242" s="65" customFormat="1" ht="12.75">
      <c r="D242" s="65" t="s">
        <v>191</v>
      </c>
    </row>
    <row r="243" spans="4:11" s="65" customFormat="1" ht="12.75">
      <c r="D243" s="65" t="s">
        <v>158</v>
      </c>
      <c r="H243" s="65">
        <v>0.02367</v>
      </c>
      <c r="K243" s="69">
        <f>N144/1000*H243</f>
        <v>0</v>
      </c>
    </row>
    <row r="244" spans="4:11" s="65" customFormat="1" ht="12.75">
      <c r="D244" s="65" t="s">
        <v>196</v>
      </c>
      <c r="H244" s="65">
        <v>0.0263</v>
      </c>
      <c r="K244" s="69">
        <f>N145/1000*H244</f>
        <v>0</v>
      </c>
    </row>
    <row r="245" spans="4:11" s="65" customFormat="1" ht="12.75">
      <c r="D245" s="65" t="s">
        <v>198</v>
      </c>
      <c r="H245" s="65">
        <v>0.02893</v>
      </c>
      <c r="K245" s="69">
        <f>N146/1000*H245</f>
        <v>0.03379602600000001</v>
      </c>
    </row>
    <row r="246" s="65" customFormat="1" ht="12.75">
      <c r="K246" s="69"/>
    </row>
    <row r="247" spans="1:11" s="65" customFormat="1" ht="12.75">
      <c r="A247" s="65" t="s">
        <v>228</v>
      </c>
      <c r="B247" s="65" t="s">
        <v>229</v>
      </c>
      <c r="D247" s="65" t="s">
        <v>203</v>
      </c>
      <c r="K247" s="69"/>
    </row>
    <row r="248" spans="2:11" s="65" customFormat="1" ht="12.75">
      <c r="B248" s="65" t="s">
        <v>230</v>
      </c>
      <c r="D248" s="65" t="s">
        <v>209</v>
      </c>
      <c r="K248" s="69"/>
    </row>
    <row r="249" spans="4:11" s="65" customFormat="1" ht="12.75">
      <c r="D249" s="65" t="s">
        <v>191</v>
      </c>
      <c r="K249" s="69"/>
    </row>
    <row r="250" spans="4:11" s="65" customFormat="1" ht="12.75">
      <c r="D250" s="65" t="s">
        <v>158</v>
      </c>
      <c r="H250" s="65">
        <v>0.014679</v>
      </c>
      <c r="I250" s="65">
        <v>0</v>
      </c>
      <c r="K250" s="69">
        <f>N149/1000*H250</f>
        <v>0</v>
      </c>
    </row>
    <row r="251" spans="4:11" s="65" customFormat="1" ht="12.75">
      <c r="D251" s="65" t="s">
        <v>196</v>
      </c>
      <c r="H251" s="65">
        <v>0.01631</v>
      </c>
      <c r="I251" s="65">
        <v>0</v>
      </c>
      <c r="K251" s="69">
        <f>N150/1000*H251</f>
        <v>0</v>
      </c>
    </row>
    <row r="252" spans="4:11" s="65" customFormat="1" ht="12.75">
      <c r="D252" s="65" t="s">
        <v>198</v>
      </c>
      <c r="K252" s="69">
        <f>N151/1000*H252</f>
        <v>0</v>
      </c>
    </row>
    <row r="253" spans="4:11" s="65" customFormat="1" ht="12.75">
      <c r="D253" s="65" t="s">
        <v>211</v>
      </c>
      <c r="K253" s="69"/>
    </row>
    <row r="254" spans="4:11" s="65" customFormat="1" ht="12.75">
      <c r="D254" s="65" t="s">
        <v>191</v>
      </c>
      <c r="K254" s="69"/>
    </row>
    <row r="255" spans="4:11" s="65" customFormat="1" ht="12.75">
      <c r="D255" s="65" t="s">
        <v>192</v>
      </c>
      <c r="K255" s="69"/>
    </row>
    <row r="256" spans="4:11" s="65" customFormat="1" ht="12.75">
      <c r="D256" s="65" t="s">
        <v>158</v>
      </c>
      <c r="K256" s="69">
        <f>N134/1000*H256</f>
        <v>0</v>
      </c>
    </row>
    <row r="257" spans="4:11" s="65" customFormat="1" ht="12.75">
      <c r="D257" s="65" t="s">
        <v>196</v>
      </c>
      <c r="H257" s="65">
        <v>0.01631</v>
      </c>
      <c r="I257" s="65">
        <v>0</v>
      </c>
      <c r="K257" s="69">
        <f>N135/1000*H257</f>
        <v>0</v>
      </c>
    </row>
    <row r="258" spans="4:11" s="65" customFormat="1" ht="12.75">
      <c r="D258" s="65" t="s">
        <v>198</v>
      </c>
      <c r="H258" s="65">
        <v>0.017941</v>
      </c>
      <c r="I258" s="65">
        <v>0</v>
      </c>
      <c r="K258" s="69">
        <f>N136/1000*H258</f>
        <v>0.11071211689999999</v>
      </c>
    </row>
    <row r="259" spans="5:11" s="65" customFormat="1" ht="12.75">
      <c r="E259" s="65" t="s">
        <v>201</v>
      </c>
      <c r="G259" s="65">
        <v>0</v>
      </c>
      <c r="I259" s="65">
        <v>0</v>
      </c>
      <c r="K259" s="69"/>
    </row>
    <row r="260" s="65" customFormat="1" ht="12.75">
      <c r="K260" s="69"/>
    </row>
    <row r="261" spans="1:11" s="65" customFormat="1" ht="12.75">
      <c r="A261" s="65" t="s">
        <v>231</v>
      </c>
      <c r="B261" s="65" t="s">
        <v>232</v>
      </c>
      <c r="D261" s="65" t="s">
        <v>203</v>
      </c>
      <c r="K261" s="69"/>
    </row>
    <row r="262" spans="2:11" s="65" customFormat="1" ht="12.75">
      <c r="B262" s="65" t="s">
        <v>233</v>
      </c>
      <c r="D262" s="65" t="s">
        <v>211</v>
      </c>
      <c r="K262" s="69"/>
    </row>
    <row r="263" spans="4:11" s="65" customFormat="1" ht="12.75">
      <c r="D263" s="65" t="s">
        <v>209</v>
      </c>
      <c r="K263" s="69"/>
    </row>
    <row r="264" spans="4:11" s="65" customFormat="1" ht="12.75">
      <c r="D264" s="65" t="s">
        <v>234</v>
      </c>
      <c r="K264" s="69"/>
    </row>
    <row r="265" spans="4:11" s="65" customFormat="1" ht="12.75">
      <c r="D265" s="65" t="s">
        <v>235</v>
      </c>
      <c r="F265" s="65" t="s">
        <v>236</v>
      </c>
      <c r="K265" s="69"/>
    </row>
    <row r="266" spans="4:11" s="65" customFormat="1" ht="12.75">
      <c r="D266" s="65" t="s">
        <v>191</v>
      </c>
      <c r="F266" s="65" t="s">
        <v>237</v>
      </c>
      <c r="K266" s="69"/>
    </row>
    <row r="267" spans="4:11" s="65" customFormat="1" ht="12.75">
      <c r="D267" s="65" t="s">
        <v>158</v>
      </c>
      <c r="H267" s="65">
        <v>41000</v>
      </c>
      <c r="I267" s="65">
        <v>0</v>
      </c>
      <c r="K267" s="69">
        <f>N162/H267</f>
        <v>0</v>
      </c>
    </row>
    <row r="268" spans="4:11" s="65" customFormat="1" ht="12.75">
      <c r="D268" s="65" t="s">
        <v>196</v>
      </c>
      <c r="H268" s="65">
        <v>39000</v>
      </c>
      <c r="I268" s="65">
        <v>0</v>
      </c>
      <c r="K268" s="69">
        <f>N163/H268</f>
        <v>0</v>
      </c>
    </row>
    <row r="269" spans="4:11" s="65" customFormat="1" ht="12.75">
      <c r="D269" s="65" t="s">
        <v>198</v>
      </c>
      <c r="H269" s="65">
        <v>37000</v>
      </c>
      <c r="I269" s="65">
        <v>0</v>
      </c>
      <c r="K269" s="69">
        <f>N164/H269</f>
        <v>0.16678108108108108</v>
      </c>
    </row>
    <row r="270" s="65" customFormat="1" ht="12.75">
      <c r="K270" s="69"/>
    </row>
    <row r="271" spans="4:11" s="65" customFormat="1" ht="12.75">
      <c r="D271" s="65" t="s">
        <v>238</v>
      </c>
      <c r="K271" s="69"/>
    </row>
    <row r="272" spans="4:11" s="65" customFormat="1" ht="12.75">
      <c r="D272" s="65" t="s">
        <v>239</v>
      </c>
      <c r="F272" s="65" t="s">
        <v>240</v>
      </c>
      <c r="K272" s="69"/>
    </row>
    <row r="273" spans="4:11" s="65" customFormat="1" ht="12.75">
      <c r="D273" s="65" t="s">
        <v>191</v>
      </c>
      <c r="K273" s="69"/>
    </row>
    <row r="274" spans="4:11" s="65" customFormat="1" ht="12.75">
      <c r="D274" s="65" t="s">
        <v>158</v>
      </c>
      <c r="H274" s="65">
        <v>450</v>
      </c>
      <c r="I274" s="65">
        <v>0</v>
      </c>
      <c r="K274" s="69">
        <f>N167/H274</f>
        <v>0</v>
      </c>
    </row>
    <row r="275" spans="4:11" s="65" customFormat="1" ht="12.75">
      <c r="D275" s="65" t="s">
        <v>196</v>
      </c>
      <c r="H275" s="65">
        <v>375</v>
      </c>
      <c r="I275" s="65">
        <v>0</v>
      </c>
      <c r="K275" s="69">
        <f>N168/H275</f>
        <v>0</v>
      </c>
    </row>
    <row r="276" spans="4:11" s="65" customFormat="1" ht="12.75">
      <c r="D276" s="65" t="s">
        <v>198</v>
      </c>
      <c r="H276" s="65">
        <v>310</v>
      </c>
      <c r="I276" s="65">
        <v>0</v>
      </c>
      <c r="K276" s="69">
        <f>N169/H276</f>
        <v>0.3741935483870968</v>
      </c>
    </row>
    <row r="277" spans="5:11" s="65" customFormat="1" ht="12.75">
      <c r="E277" s="65" t="s">
        <v>201</v>
      </c>
      <c r="G277" s="65">
        <v>0</v>
      </c>
      <c r="I277" s="65">
        <v>0</v>
      </c>
      <c r="K277" s="69"/>
    </row>
    <row r="278" s="65" customFormat="1" ht="12.75">
      <c r="K278" s="69"/>
    </row>
    <row r="279" spans="1:11" s="65" customFormat="1" ht="12.75">
      <c r="A279" s="65" t="s">
        <v>241</v>
      </c>
      <c r="B279" s="65" t="s">
        <v>242</v>
      </c>
      <c r="D279" s="65" t="s">
        <v>243</v>
      </c>
      <c r="K279" s="69"/>
    </row>
    <row r="280" spans="4:11" s="65" customFormat="1" ht="12.75">
      <c r="D280" s="65" t="s">
        <v>244</v>
      </c>
      <c r="F280" s="65" t="s">
        <v>240</v>
      </c>
      <c r="K280" s="69"/>
    </row>
    <row r="281" spans="4:11" s="65" customFormat="1" ht="12.75">
      <c r="D281" s="65" t="s">
        <v>245</v>
      </c>
      <c r="K281" s="69"/>
    </row>
    <row r="282" spans="4:11" s="65" customFormat="1" ht="12.75">
      <c r="D282" s="65" t="s">
        <v>158</v>
      </c>
      <c r="H282" s="65">
        <v>2350</v>
      </c>
      <c r="I282" s="65">
        <v>0</v>
      </c>
      <c r="K282" s="69">
        <f>N167/H282</f>
        <v>0</v>
      </c>
    </row>
    <row r="283" spans="4:11" s="65" customFormat="1" ht="12.75">
      <c r="D283" s="65" t="s">
        <v>196</v>
      </c>
      <c r="H283" s="65">
        <v>2250</v>
      </c>
      <c r="I283" s="65">
        <v>0</v>
      </c>
      <c r="K283" s="69">
        <f>N168/H283</f>
        <v>0</v>
      </c>
    </row>
    <row r="284" spans="4:11" s="65" customFormat="1" ht="12.75">
      <c r="D284" s="65" t="s">
        <v>198</v>
      </c>
      <c r="H284" s="65">
        <v>2200</v>
      </c>
      <c r="I284" s="65">
        <v>0</v>
      </c>
      <c r="K284" s="69">
        <f>N169/H284</f>
        <v>0.05272727272727273</v>
      </c>
    </row>
    <row r="285" spans="5:11" s="65" customFormat="1" ht="12.75">
      <c r="E285" s="65" t="s">
        <v>201</v>
      </c>
      <c r="G285" s="65">
        <v>0</v>
      </c>
      <c r="I285" s="65">
        <v>0</v>
      </c>
      <c r="K285" s="69"/>
    </row>
    <row r="286" s="65" customFormat="1" ht="12.75">
      <c r="K286" s="69">
        <f>K148+K149+K150+K158+K159+K160+K165+K166+K167+K171+K172+K173+K179+K180+K181+K185+K186+K187+K193+K194+K195+K199+K200+K201+K207+K208+K209+K213+K214+K215+K222+K223+K224+K228+K229+K230+K234+K235+K236+K243+K244+K245+K250+K251+K252+K256+K257+K258+K267+K268+K269+K274+K275+K276+K282+K283+K284</f>
        <v>1.4097581398954506</v>
      </c>
    </row>
    <row r="287" spans="1:11" s="65" customFormat="1" ht="12.75">
      <c r="A287" s="65" t="s">
        <v>246</v>
      </c>
      <c r="B287" s="65" t="s">
        <v>247</v>
      </c>
      <c r="F287" s="65" t="s">
        <v>248</v>
      </c>
      <c r="I287" s="65">
        <v>1</v>
      </c>
      <c r="K287" s="69">
        <f>K286*1.12</f>
        <v>1.578929116682905</v>
      </c>
    </row>
    <row r="288" s="65" customFormat="1" ht="12.75">
      <c r="B288" s="65" t="s">
        <v>249</v>
      </c>
    </row>
    <row r="289" s="65" customFormat="1" ht="12.75">
      <c r="B289" s="65" t="s">
        <v>250</v>
      </c>
    </row>
    <row r="290" s="65" customFormat="1" ht="12.75"/>
    <row r="291" spans="1:9" s="65" customFormat="1" ht="12.75">
      <c r="A291" s="65" t="s">
        <v>251</v>
      </c>
      <c r="B291" s="65" t="s">
        <v>252</v>
      </c>
      <c r="I291" s="65">
        <v>2</v>
      </c>
    </row>
    <row r="292" spans="1:9" s="65" customFormat="1" ht="12.75">
      <c r="A292" s="65" t="s">
        <v>253</v>
      </c>
      <c r="B292" s="65" t="s">
        <v>254</v>
      </c>
      <c r="I292" s="65">
        <v>1</v>
      </c>
    </row>
    <row r="293" spans="1:9" s="65" customFormat="1" ht="12.75">
      <c r="A293" s="65" t="s">
        <v>255</v>
      </c>
      <c r="B293" s="65" t="s">
        <v>256</v>
      </c>
      <c r="I293" s="65">
        <v>1</v>
      </c>
    </row>
    <row r="294" spans="2:9" s="65" customFormat="1" ht="12.75">
      <c r="B294" s="65" t="s">
        <v>257</v>
      </c>
      <c r="I294" s="65">
        <v>5</v>
      </c>
    </row>
    <row r="295" s="65" customFormat="1" ht="12.75">
      <c r="F295" s="65" t="s">
        <v>258</v>
      </c>
    </row>
    <row r="296" spans="1:9" s="65" customFormat="1" ht="12.75">
      <c r="A296" s="65" t="s">
        <v>259</v>
      </c>
      <c r="B296" s="65" t="s">
        <v>260</v>
      </c>
      <c r="E296" s="65" t="s">
        <v>261</v>
      </c>
      <c r="G296" s="65">
        <v>1275</v>
      </c>
      <c r="H296" s="65">
        <v>1200</v>
      </c>
      <c r="I296" s="65">
        <f>G296/H296</f>
        <v>1.0625</v>
      </c>
    </row>
    <row r="297" spans="5:9" s="65" customFormat="1" ht="12.75">
      <c r="E297" s="65" t="s">
        <v>262</v>
      </c>
      <c r="H297" s="65">
        <v>1650</v>
      </c>
      <c r="I297" s="69">
        <f>G297/H297</f>
        <v>0</v>
      </c>
    </row>
    <row r="298" spans="5:9" s="65" customFormat="1" ht="12.75">
      <c r="E298" s="65" t="s">
        <v>263</v>
      </c>
      <c r="G298" s="65">
        <v>3939</v>
      </c>
      <c r="H298" s="65">
        <v>9000</v>
      </c>
      <c r="I298" s="69">
        <f>G298/H298</f>
        <v>0.43766666666666665</v>
      </c>
    </row>
    <row r="299" spans="3:9" s="65" customFormat="1" ht="12.75">
      <c r="C299" s="65" t="s">
        <v>201</v>
      </c>
      <c r="G299" s="65">
        <f>G296+G297+G298</f>
        <v>5214</v>
      </c>
      <c r="I299" s="69">
        <f>I296+I297+I298</f>
        <v>1.5001666666666666</v>
      </c>
    </row>
    <row r="300" s="65" customFormat="1" ht="12.75">
      <c r="F300" s="65" t="s">
        <v>258</v>
      </c>
    </row>
    <row r="301" spans="1:9" s="65" customFormat="1" ht="12.75">
      <c r="A301" s="65" t="s">
        <v>264</v>
      </c>
      <c r="B301" s="65" t="s">
        <v>265</v>
      </c>
      <c r="E301" s="65" t="s">
        <v>266</v>
      </c>
      <c r="G301" s="65">
        <v>563</v>
      </c>
      <c r="H301" s="65">
        <v>800</v>
      </c>
      <c r="I301" s="69">
        <f>G301/H301</f>
        <v>0.70375</v>
      </c>
    </row>
    <row r="302" spans="2:9" s="65" customFormat="1" ht="12.75">
      <c r="B302" s="65" t="s">
        <v>267</v>
      </c>
      <c r="E302" s="65" t="s">
        <v>268</v>
      </c>
      <c r="H302" s="65">
        <v>960</v>
      </c>
      <c r="I302" s="69">
        <f>G302/H302</f>
        <v>0</v>
      </c>
    </row>
    <row r="303" s="65" customFormat="1" ht="12.75">
      <c r="E303" s="65" t="s">
        <v>269</v>
      </c>
    </row>
    <row r="304" spans="3:9" s="65" customFormat="1" ht="12.75">
      <c r="C304" s="65" t="s">
        <v>201</v>
      </c>
      <c r="G304" s="65">
        <f>G301+G302+G303</f>
        <v>563</v>
      </c>
      <c r="I304" s="69">
        <f>I301+I302</f>
        <v>0.70375</v>
      </c>
    </row>
    <row r="305" s="65" customFormat="1" ht="12.75">
      <c r="F305" s="65" t="s">
        <v>270</v>
      </c>
    </row>
    <row r="306" spans="1:9" s="65" customFormat="1" ht="12.75">
      <c r="A306" s="65" t="s">
        <v>271</v>
      </c>
      <c r="B306" s="65" t="s">
        <v>272</v>
      </c>
      <c r="E306" s="65" t="s">
        <v>273</v>
      </c>
      <c r="H306" s="65">
        <v>500</v>
      </c>
      <c r="I306" s="69">
        <f>G306/H306</f>
        <v>0</v>
      </c>
    </row>
    <row r="307" spans="5:9" s="65" customFormat="1" ht="12.75">
      <c r="E307" s="65" t="s">
        <v>274</v>
      </c>
      <c r="H307" s="65">
        <v>700</v>
      </c>
      <c r="I307" s="69">
        <f>G307/H307</f>
        <v>0</v>
      </c>
    </row>
    <row r="308" s="65" customFormat="1" ht="12.75">
      <c r="E308" s="65" t="s">
        <v>275</v>
      </c>
    </row>
    <row r="309" spans="3:9" s="65" customFormat="1" ht="12.75">
      <c r="C309" s="65" t="s">
        <v>201</v>
      </c>
      <c r="G309" s="65">
        <f>G306+G307</f>
        <v>0</v>
      </c>
      <c r="I309" s="69">
        <f>I306+I307</f>
        <v>0</v>
      </c>
    </row>
    <row r="310" spans="1:2" s="65" customFormat="1" ht="12.75">
      <c r="A310" s="65" t="s">
        <v>276</v>
      </c>
      <c r="B310" s="65" t="s">
        <v>277</v>
      </c>
    </row>
    <row r="311" spans="2:9" s="65" customFormat="1" ht="12.75">
      <c r="B311" s="65" t="s">
        <v>278</v>
      </c>
      <c r="I311" s="65">
        <v>2</v>
      </c>
    </row>
  </sheetData>
  <sheetProtection/>
  <mergeCells count="44">
    <mergeCell ref="A118:D118"/>
    <mergeCell ref="C99:I99"/>
    <mergeCell ref="A108:G108"/>
    <mergeCell ref="A112:E112"/>
    <mergeCell ref="A114:G114"/>
    <mergeCell ref="A70:F70"/>
    <mergeCell ref="A71:G71"/>
    <mergeCell ref="A72:D72"/>
    <mergeCell ref="E72:G72"/>
    <mergeCell ref="A73:E73"/>
    <mergeCell ref="A55:G55"/>
    <mergeCell ref="A56:G56"/>
    <mergeCell ref="A59:D59"/>
    <mergeCell ref="A60:F60"/>
    <mergeCell ref="A63:E63"/>
    <mergeCell ref="C67:D67"/>
    <mergeCell ref="A43:F43"/>
    <mergeCell ref="A44:F44"/>
    <mergeCell ref="A49:F49"/>
    <mergeCell ref="A53:G53"/>
    <mergeCell ref="A54:E54"/>
    <mergeCell ref="A36:G36"/>
    <mergeCell ref="A37:G37"/>
    <mergeCell ref="A38:G38"/>
    <mergeCell ref="A40:G40"/>
    <mergeCell ref="A41:G41"/>
    <mergeCell ref="A42:G42"/>
    <mergeCell ref="A28:G28"/>
    <mergeCell ref="A30:E30"/>
    <mergeCell ref="A32:G32"/>
    <mergeCell ref="A33:G33"/>
    <mergeCell ref="A34:G34"/>
    <mergeCell ref="A35:G35"/>
    <mergeCell ref="A15:G15"/>
    <mergeCell ref="A19:F19"/>
    <mergeCell ref="A21:F21"/>
    <mergeCell ref="A24:F24"/>
    <mergeCell ref="A26:G26"/>
    <mergeCell ref="A27:G27"/>
    <mergeCell ref="A1:K1"/>
    <mergeCell ref="A2:K2"/>
    <mergeCell ref="A4:K5"/>
    <mergeCell ref="A6:K6"/>
    <mergeCell ref="A13:H13"/>
  </mergeCells>
  <printOptions/>
  <pageMargins left="0.3937007874015748" right="0" top="0.984251968503937" bottom="0.7874015748031497" header="0.1968503937007874" footer="0.1968503937007874"/>
  <pageSetup horizontalDpi="600" verticalDpi="600" orientation="portrait" paperSize="9" r:id="rId3"/>
  <ignoredErrors>
    <ignoredError sqref="L12 M46 M56 M59 M66 L76:M76 H102:H104 H106 H108 K108 H114 H116 H118 H120 H12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ЖКО 17</cp:lastModifiedBy>
  <cp:lastPrinted>2011-12-21T08:32:04Z</cp:lastPrinted>
  <dcterms:created xsi:type="dcterms:W3CDTF">1996-10-08T23:32:33Z</dcterms:created>
  <dcterms:modified xsi:type="dcterms:W3CDTF">2011-12-21T08:37:11Z</dcterms:modified>
  <cp:category/>
  <cp:version/>
  <cp:contentType/>
  <cp:contentStatus/>
</cp:coreProperties>
</file>