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390" tabRatio="691" firstSheet="19" activeTab="29"/>
  </bookViews>
  <sheets>
    <sheet name="1кр.16" sheetId="1" r:id="rId1"/>
    <sheet name="1кр18а" sheetId="2" r:id="rId2"/>
    <sheet name="1Кр.18б" sheetId="3" r:id="rId3"/>
    <sheet name="1Красная 23" sheetId="4" r:id="rId4"/>
    <sheet name="1Кр.28" sheetId="5" r:id="rId5"/>
    <sheet name="28к1" sheetId="6" r:id="rId6"/>
    <sheet name="28к2" sheetId="7" r:id="rId7"/>
    <sheet name="бронная 22" sheetId="8" r:id="rId8"/>
    <sheet name="2Красная13" sheetId="9" r:id="rId9"/>
    <sheet name="молодц.4к1" sheetId="10" r:id="rId10"/>
    <sheet name="мол.5к1" sheetId="11" r:id="rId11"/>
    <sheet name="Мол.11к2" sheetId="12" r:id="rId12"/>
    <sheet name="луг.1" sheetId="13" r:id="rId13"/>
    <sheet name="Луг3" sheetId="14" r:id="rId14"/>
    <sheet name="Луг.1ж" sheetId="15" r:id="rId15"/>
    <sheet name="К.М.6" sheetId="16" r:id="rId16"/>
    <sheet name="Космонавтов 7" sheetId="17" r:id="rId17"/>
    <sheet name="станкозаводская 2к1" sheetId="18" r:id="rId18"/>
    <sheet name="станк.6" sheetId="19" r:id="rId19"/>
    <sheet name="станк.5,1" sheetId="20" r:id="rId20"/>
    <sheet name="ст.8" sheetId="21" r:id="rId21"/>
    <sheet name="ст.14к1" sheetId="22" r:id="rId22"/>
    <sheet name="Магистр.2" sheetId="23" r:id="rId23"/>
    <sheet name="Маг.2к1" sheetId="24" r:id="rId24"/>
    <sheet name="Маг.3" sheetId="25" r:id="rId25"/>
    <sheet name="Маг.8" sheetId="26" r:id="rId26"/>
    <sheet name="Окт.1" sheetId="27" r:id="rId27"/>
    <sheet name="Окт.4" sheetId="28" r:id="rId28"/>
    <sheet name="окт.12,14" sheetId="29" r:id="rId29"/>
    <sheet name="Окт.18" sheetId="30" r:id="rId30"/>
    <sheet name="н-прибоя 18" sheetId="31" r:id="rId31"/>
    <sheet name="Молодежная 21к1" sheetId="32" r:id="rId32"/>
    <sheet name="Мол21к2" sheetId="33" r:id="rId33"/>
    <sheet name="Старореченская 15к1" sheetId="34" r:id="rId34"/>
    <sheet name="15к3" sheetId="35" r:id="rId35"/>
    <sheet name="2к1" sheetId="36" r:id="rId36"/>
    <sheet name="2к2" sheetId="37" r:id="rId37"/>
    <sheet name="32а" sheetId="38" r:id="rId38"/>
    <sheet name="32б" sheetId="39" r:id="rId39"/>
    <sheet name="56" sheetId="40" r:id="rId40"/>
    <sheet name="энг.6" sheetId="41" r:id="rId41"/>
    <sheet name="23,9" sheetId="42" r:id="rId42"/>
  </sheets>
  <definedNames>
    <definedName name="_xlnm.Print_Area" localSheetId="3">'1Красная 23'!$A$1:$E$110</definedName>
  </definedNames>
  <calcPr fullCalcOnLoad="1"/>
</workbook>
</file>

<file path=xl/sharedStrings.xml><?xml version="1.0" encoding="utf-8"?>
<sst xmlns="http://schemas.openxmlformats.org/spreadsheetml/2006/main" count="1977" uniqueCount="765">
  <si>
    <t>а)Дворник   0,29*5800+75%+20,3%*12</t>
  </si>
  <si>
    <t>1.2Приобретение спецодежды и инвентаря 0,012*2351,2*12</t>
  </si>
  <si>
    <t>1.3.Приобретение песко-соляной смеси 0,014*2351,2*12</t>
  </si>
  <si>
    <t>1.4.Вывоз и утилизация крупногабаритного мусора   0,06*2351,2*12</t>
  </si>
  <si>
    <t>2.1.Сбор и вывоз ТБО   95чел.*1,5/12=11,875*101,01*12</t>
  </si>
  <si>
    <t>2.5. Дератизация подвала  1,44*832,0</t>
  </si>
  <si>
    <t>0,81*2351,2*12</t>
  </si>
  <si>
    <t>1,63*2351,2*12</t>
  </si>
  <si>
    <t>1.2Приобретение спецодежды и инвентаря 0,012*2670,9*12</t>
  </si>
  <si>
    <t>1.4.Вывоз и утилизация крупногабаритного мусора   0,06*2670,9*12</t>
  </si>
  <si>
    <t>0,81*2670,9*12</t>
  </si>
  <si>
    <t>1,63*2670,9*12</t>
  </si>
  <si>
    <t>ул.Станкозаводская, дом 6</t>
  </si>
  <si>
    <t>1533,7/3080=0,498</t>
  </si>
  <si>
    <t>0,54ед.</t>
  </si>
  <si>
    <t>1186,1/30000=0,04</t>
  </si>
  <si>
    <t>а)Дворник   0,54*5800+75%+20,3%*12</t>
  </si>
  <si>
    <t>2.1.Сбор и вывоз ТБО   123чел.*1,5*101,01</t>
  </si>
  <si>
    <t>2.2 Захоронение  ТБО     123чел.*1,5м3*38,06</t>
  </si>
  <si>
    <t>2.4.Дезинсекция контейнеров 0,002*2611,0*12</t>
  </si>
  <si>
    <t>2.7.ТО вентканалов  64шт*6,08+(64шт*18,06)*4</t>
  </si>
  <si>
    <t>0,003*2644,0*12</t>
  </si>
  <si>
    <t>1.2Приобретение спецодежды и инвентаря 0,012*2644,0*12</t>
  </si>
  <si>
    <t>1.3.Приобретение песко-соляной смеси 0,014*2644,0*12</t>
  </si>
  <si>
    <t>1.4.Вывоз и утилизация крупногабаритного мусора   0,06*2644,0*12</t>
  </si>
  <si>
    <t>2.3. Электроэнергия МОП    2900кВТ*2,73</t>
  </si>
  <si>
    <t>2.6.Аварийная служба 0,29*2644,0*12</t>
  </si>
  <si>
    <t>0,81*2644,0*12</t>
  </si>
  <si>
    <t>1,63*2644,0*12</t>
  </si>
  <si>
    <t>ул.Станкозаводская, дом 5/1</t>
  </si>
  <si>
    <t>607,7/3080=0,197</t>
  </si>
  <si>
    <t>0,237ед.</t>
  </si>
  <si>
    <t>1066,6/30000=0,04</t>
  </si>
  <si>
    <t>а)Дворник   0,237*5800+75%+20,3%*12</t>
  </si>
  <si>
    <t>2.1.Сбор и вывоз ТБО  84чел.*1,5м3*101,01</t>
  </si>
  <si>
    <t>2.4.Дезинсекция контейнеров 0,002*1611,40*12</t>
  </si>
  <si>
    <t>0,003*1611,4*12</t>
  </si>
  <si>
    <t>1.2Приобретение спецодежды и инвентаря 0,012*1611,4*12</t>
  </si>
  <si>
    <t>1.3.Приобретение песко-соляной смеси 0,014*1611,4*12</t>
  </si>
  <si>
    <t>1.4.Вывоз и утилизация крупногабаритного мусора   0,06*1611,4*12</t>
  </si>
  <si>
    <t>2.2 Захоронение  ТБО     84чел.*1,5м3*35,02</t>
  </si>
  <si>
    <t>2.3. Электроэнергия МОП    2700кВТ*2,73</t>
  </si>
  <si>
    <t>2.6.Аварийная служба 0,29*1611,4*12</t>
  </si>
  <si>
    <t>0,81*1611,4*12</t>
  </si>
  <si>
    <t>1,63*1611,4*12</t>
  </si>
  <si>
    <t>ул.Станкозаводская , дом 14корп.1</t>
  </si>
  <si>
    <t>1044,0/3080=0,339</t>
  </si>
  <si>
    <t>0,346ед.</t>
  </si>
  <si>
    <t>2004/30000=0,0067</t>
  </si>
  <si>
    <t>а)Дворник   0,346*5800+75%+20,3%*12</t>
  </si>
  <si>
    <t>2.1.Сбор и вывоз ТБО  95чел.*1,5*101,01</t>
  </si>
  <si>
    <t>2.4.Дезинсекция,дизенсекция 0,002*3186,2*12</t>
  </si>
  <si>
    <t>0,003*3186,2*12</t>
  </si>
  <si>
    <t>1.2Приобретение спецодежды и инвентаря 0,012*3186,2*12</t>
  </si>
  <si>
    <t>1.3.Приобретение песко-соляной смеси 0,014*3186,2*12</t>
  </si>
  <si>
    <t>1.4.Вывоз и утилизация крупногабаритного мусора  0,06*3186,2*12</t>
  </si>
  <si>
    <t>2.2 Захоронение  ТБО     95чел.*1,5м3*35,02</t>
  </si>
  <si>
    <t>2.3. Электроэнергия МОП    17100кВТ*2,73</t>
  </si>
  <si>
    <t>2.5. Дератизация подвала  1,44*1020кв.м.</t>
  </si>
  <si>
    <t>2.6.Аварийная служба 0,29*3186,2*12</t>
  </si>
  <si>
    <t>0,81*3186,2*12</t>
  </si>
  <si>
    <t>1,63*3186,2*12</t>
  </si>
  <si>
    <t>1.2Приобретение спецодежды и инвентаря 0,012*3286,1*12</t>
  </si>
  <si>
    <t>1.4.Вывоз и утилизация крупногабаритного мусора   0,06*3290,2*12</t>
  </si>
  <si>
    <t>2.2 Захоронение  ТБО   132чел.*1,5м3*35,02</t>
  </si>
  <si>
    <t>2.3. Электроэнергия МОП   8300кВТ*2,73</t>
  </si>
  <si>
    <t>80кв.*120,0</t>
  </si>
  <si>
    <t>0,81*3286,1*12</t>
  </si>
  <si>
    <r>
      <t xml:space="preserve">5.Общеэксплуатационные расходы   </t>
    </r>
    <r>
      <rPr>
        <sz val="9"/>
        <rFont val="Arial Cyr"/>
        <family val="0"/>
      </rPr>
      <t>1,63*3286,1*12</t>
    </r>
  </si>
  <si>
    <t>а)Дворник   0,21*5800+75%+20,3%*12</t>
  </si>
  <si>
    <t>1.2Приобретение спецодежды и инвентаря 0,012*2050,9*12</t>
  </si>
  <si>
    <t>1.3.Приобретение песко-соляной смеси 0,014*2050,9*12</t>
  </si>
  <si>
    <t>1.4.Вывоз и утилизация крупногабаритного мусора   0,06*2050,9*12</t>
  </si>
  <si>
    <t>2.1.Сбор и вывоз ТБО   63чел.*1,5*101,01</t>
  </si>
  <si>
    <t>2.2 Захоронение  ТБО     63чел*1,5м3*35,02</t>
  </si>
  <si>
    <t>2.6.ТО вентканалов   24шт*5,44+(24шт*16,17)*4</t>
  </si>
  <si>
    <t>0,81*2050,9*12</t>
  </si>
  <si>
    <t>1,63*2050,9*12</t>
  </si>
  <si>
    <t>а)Дворник   0,48*5800+75%+20,3%*12</t>
  </si>
  <si>
    <t>1.2Приобретение спецодежды и инвентаря 0,012*3033,4*12</t>
  </si>
  <si>
    <t>1.4.Вывоз и утилизация крупногабаритного мусора   0,06*3033,4*12</t>
  </si>
  <si>
    <t>2.1.Сбор и вывоз ТБО   138чел.*1,5м3*101,01</t>
  </si>
  <si>
    <t>0,81*3033,4*12</t>
  </si>
  <si>
    <t>1,63*3033,4*12</t>
  </si>
  <si>
    <t>1.2Приобретение спецодежды и инвентаря 0,12*3229,7*12</t>
  </si>
  <si>
    <t>1.4.Вывоз и утилизация крупногабаритного мусора   0,06*3229,7*12</t>
  </si>
  <si>
    <t>2.2 Захоронение  ТБО   157чел.*1,5м3*35,02</t>
  </si>
  <si>
    <t>2.3. Электроэнергия МОП   8000кВТ*2,73</t>
  </si>
  <si>
    <t>2.6.ТО вентканалов   80шт*5,44+(80шт*16,17*4)</t>
  </si>
  <si>
    <t>0,81*3229,7*12</t>
  </si>
  <si>
    <r>
      <t xml:space="preserve">5.Общеэксплуатационные расходы   </t>
    </r>
    <r>
      <rPr>
        <sz val="9"/>
        <rFont val="Arial Cyr"/>
        <family val="0"/>
      </rPr>
      <t>1,63*3229,7*12</t>
    </r>
  </si>
  <si>
    <t>ул.Октябрьская ,дом 12/14</t>
  </si>
  <si>
    <t>1.2Приобретение спецодежды и инвентаря 0,012*2480,2*12</t>
  </si>
  <si>
    <t>0,81*2480,2*12</t>
  </si>
  <si>
    <r>
      <t xml:space="preserve">5.Общеэксплуатационные расходы   </t>
    </r>
    <r>
      <rPr>
        <sz val="9"/>
        <rFont val="Arial Cyr"/>
        <family val="0"/>
      </rPr>
      <t>1,63*2480,2*12</t>
    </r>
  </si>
  <si>
    <t>ул.Октябрьская ,дом 4</t>
  </si>
  <si>
    <t>834,6/3080=0,27</t>
  </si>
  <si>
    <t>0,43ед.</t>
  </si>
  <si>
    <t>325/2500=0,13</t>
  </si>
  <si>
    <t>1025/30000=0,03</t>
  </si>
  <si>
    <t>а)Дворник   0,43*5800+75%+20,3%*12</t>
  </si>
  <si>
    <t>2.1.Сбор и вывоз ТБО  42чел.*1,5м3*101,01</t>
  </si>
  <si>
    <t>2.4.Дезинсекция контейнеров 0,002*1958,7*12</t>
  </si>
  <si>
    <t>0,003*1958,7*12</t>
  </si>
  <si>
    <t>1.2Приобретение спецодежды и инвентаря 0,012*1958,7*12</t>
  </si>
  <si>
    <t>1.3.Приобретение песко-соляной смеси 0,014*1958,7*12</t>
  </si>
  <si>
    <t>1.4.Вывоз и утилизация крупногабаритного мусора   0,06*1958,7*12</t>
  </si>
  <si>
    <t>2.2 Захоронение  ТБО     42чел*1,5м3*35,02</t>
  </si>
  <si>
    <t>2.3. Электроэнергия МОП  2100кВТ*2,73</t>
  </si>
  <si>
    <t>2.5. Дератизация подвала  1,44*534,7</t>
  </si>
  <si>
    <t>2.5.Аварийная служба 0,29*1958,7*12</t>
  </si>
  <si>
    <t>0,81*1958,7*12</t>
  </si>
  <si>
    <t>1,63*1958,7*12</t>
  </si>
  <si>
    <t>1250,0/3080=0,4</t>
  </si>
  <si>
    <t>0,618ед.</t>
  </si>
  <si>
    <t>470/2500=0,188</t>
  </si>
  <si>
    <t>а)Дворник   0,618*5800+75%+20,3%*12</t>
  </si>
  <si>
    <t>1.4.Вывоз и утилизация крупногабаритного мусора   0,13*1666,9*12</t>
  </si>
  <si>
    <t>2.1.Сбор и вывоз ТБО  57чел.*1,5*101,01</t>
  </si>
  <si>
    <t>2.4.Дезинсекция контейнеров 0,002*1666,9*12</t>
  </si>
  <si>
    <t>0,003*1666,9*12</t>
  </si>
  <si>
    <t>1.2Приобретение спецодежды и инвентаря 0,012*1666,9*12</t>
  </si>
  <si>
    <t>1.3.Приобретение песко-соляной смеси 0,014*1666,9*12</t>
  </si>
  <si>
    <t>2.2 Захоронение  ТБО    57чел*1,5м3*35,02</t>
  </si>
  <si>
    <t>2.3. Электроэнергия МОП   2600кВТ*2,73</t>
  </si>
  <si>
    <t>2.5. Дератизация подвала  1,44*582,9</t>
  </si>
  <si>
    <t>2.5.Аварийная служба 0,29*1666,9*12</t>
  </si>
  <si>
    <t>2.6.ТО вентканалов  31шт*5,44+(31шт*16,17)*4</t>
  </si>
  <si>
    <t>0,81*1666,9*12</t>
  </si>
  <si>
    <t>1,63*1666,9*12</t>
  </si>
  <si>
    <t>ул.Октябрьская ,дом 18</t>
  </si>
  <si>
    <t>ул.Молодежная,дом 21к1</t>
  </si>
  <si>
    <t>729,0/3080=0,237</t>
  </si>
  <si>
    <t>0,307ед.</t>
  </si>
  <si>
    <t>2120/30000=0,07</t>
  </si>
  <si>
    <t>а)Дворник   0,307*5800+75%+20,3%*12</t>
  </si>
  <si>
    <t>1.4.Вывоз и утилизация крупногабаритного мусора   0,13*2476,1*12</t>
  </si>
  <si>
    <t>2.1.Сбор и вывоз ТБО  76чел.*1,5м3*101,01</t>
  </si>
  <si>
    <t>2.2 Захоронение  ТБО     76чел.*1,5м3*38,06</t>
  </si>
  <si>
    <t>2.4.Дезинсекция контейнеров 0,002*2476,1*12</t>
  </si>
  <si>
    <t>0,003*2476,1*12</t>
  </si>
  <si>
    <t>1.2Приобретение спецодежды и инвентаря 0,012*2476,1*12</t>
  </si>
  <si>
    <t>1.3.Приобретение песко-соляной смеси 0,014*2476,1*12</t>
  </si>
  <si>
    <t>2.3. Электроэнергия МОП   3750кВТ*2,73</t>
  </si>
  <si>
    <t>2.5.Аварийная служба 0,29*2476,1*12</t>
  </si>
  <si>
    <t>0,81*2476,1*12</t>
  </si>
  <si>
    <r>
      <t xml:space="preserve">5.Общеэксплуатационные расходы      </t>
    </r>
    <r>
      <rPr>
        <sz val="9"/>
        <rFont val="Arial Cyr"/>
        <family val="0"/>
      </rPr>
      <t>1,63*2476,1*12</t>
    </r>
  </si>
  <si>
    <t>а)Дворник   0,438*5800+75%+20,3%*12</t>
  </si>
  <si>
    <t>1.2Приобретение спецодежды и инвентаря 0,012*2864,5*12</t>
  </si>
  <si>
    <t>1.3.Приобретение песко-соляной смеси 0,014*2864,5*12</t>
  </si>
  <si>
    <t>1.4.Вывоз и утилизация крупногабаритного мусора   0,06*2864,5*12</t>
  </si>
  <si>
    <t>2.1.Сбор и вывоз ТБО   220чел.*1,5=330*101,01</t>
  </si>
  <si>
    <t>2.5. Дератизация подвала  1,44*489,4</t>
  </si>
  <si>
    <t>0,81*2864,5*12</t>
  </si>
  <si>
    <r>
      <t xml:space="preserve">5.Общеэксплуатационные расходы   </t>
    </r>
    <r>
      <rPr>
        <sz val="9"/>
        <rFont val="Arial Cyr"/>
        <family val="0"/>
      </rPr>
      <t>1,63*2864,5*12</t>
    </r>
  </si>
  <si>
    <t>9.Налог при УСН</t>
  </si>
  <si>
    <t>923,0/3080=0,3</t>
  </si>
  <si>
    <t>0,385ед.</t>
  </si>
  <si>
    <t>2545,0/30000=0,085</t>
  </si>
  <si>
    <t>а)Дворник   0,385*5800+75%+20,3%*12</t>
  </si>
  <si>
    <t>2.1.Сбор и вывоз ТБО   170чел.*1,5м3*101,01</t>
  </si>
  <si>
    <t>2.4.Дезинсекция контейнеров 0,002*3376,6*12</t>
  </si>
  <si>
    <t>0,003*3376,6*12</t>
  </si>
  <si>
    <t>1.2Приобретение спецодежды и инвентаря 0,012*3376,6*12</t>
  </si>
  <si>
    <t>1.3.Приобретение песко-соляной смеси 0,014*3376,6*12</t>
  </si>
  <si>
    <t>1.4.Вывоз и утилизация крупногабаритного мусора   0,06*3376,6*12</t>
  </si>
  <si>
    <t>2.2 Захоронение  ТБО     170чел.*1,5м3*35,02</t>
  </si>
  <si>
    <t>2.3. Электроэнергия МОП   6800кВТ*2,73</t>
  </si>
  <si>
    <t>2.6.ТО вентканалов   70шт*5,44+(70шт*16,17)*4</t>
  </si>
  <si>
    <t>0,81*3376,6*12</t>
  </si>
  <si>
    <r>
      <t xml:space="preserve">5.Общеэксплуатационные расходы   </t>
    </r>
    <r>
      <rPr>
        <sz val="9"/>
        <rFont val="Arial Cyr"/>
        <family val="0"/>
      </rPr>
      <t>1,63*3376,6*12</t>
    </r>
  </si>
  <si>
    <t>ул.Старореченкая,дом 15корп.3</t>
  </si>
  <si>
    <t>1.2Приобретение спецодежды и инвентаря 0,012*3616,4*12</t>
  </si>
  <si>
    <t>1.4.Вывоз и утилизация крупногабаритного мусора   0,06*3616,4*12</t>
  </si>
  <si>
    <t>2.2 Захоронение  ТБО     270м3*35,02</t>
  </si>
  <si>
    <t>2.3. Электроэнергия МОП   5300кВТ*2,73</t>
  </si>
  <si>
    <t>65кв.*120</t>
  </si>
  <si>
    <t>0,81*3616,4*12</t>
  </si>
  <si>
    <r>
      <t xml:space="preserve">5.Общеэксплуатационные расходы  </t>
    </r>
    <r>
      <rPr>
        <sz val="9"/>
        <rFont val="Arial Cyr"/>
        <family val="0"/>
      </rPr>
      <t xml:space="preserve"> 1,63*3616,4*12</t>
    </r>
  </si>
  <si>
    <t>ул.Старореченкая,дом 2к2</t>
  </si>
  <si>
    <t>1012,1/3080=0,329</t>
  </si>
  <si>
    <t>0,539ед.</t>
  </si>
  <si>
    <t>6301/30000=0,21</t>
  </si>
  <si>
    <t>а)Дворник   0,539*5800+75%+20,3%*12</t>
  </si>
  <si>
    <t>2.1.Сбор и вывоз ТБО   207чел.*1,5м3*101,01</t>
  </si>
  <si>
    <t>2.4.Дезинсекция контейнеров 0,002*4881,3*12</t>
  </si>
  <si>
    <t>2.5.Аварийная служба 0,29*4881,3*12</t>
  </si>
  <si>
    <t>0,003*4881,3*12</t>
  </si>
  <si>
    <t>1.2Приобретение спецодежды и инвентаря 0,012*4881,3*12</t>
  </si>
  <si>
    <t>1.3.Приобретение песко-соляной смеси 0,014*4881,3*12</t>
  </si>
  <si>
    <t>1.4.Вывоз и утилизация крупногабаритного мусора   0,06*4881,3*12</t>
  </si>
  <si>
    <t>2.2 Захоронение  ТБО     207чел*1,5м3*35,02</t>
  </si>
  <si>
    <t>2.5. Дератизация подвала  1,44*1084кв.м.</t>
  </si>
  <si>
    <t>2.6.ТО вентканалов  90шт*5,44</t>
  </si>
  <si>
    <t>90кв.*120</t>
  </si>
  <si>
    <t>0,81*4881,3*12</t>
  </si>
  <si>
    <r>
      <t xml:space="preserve">5.Общеэксплуатационные расходы  </t>
    </r>
    <r>
      <rPr>
        <sz val="9"/>
        <rFont val="Arial Cyr"/>
        <family val="0"/>
      </rPr>
      <t xml:space="preserve"> 1,63*4881,3*12</t>
    </r>
  </si>
  <si>
    <t>1.2Приобретение спецодежды и инвентаря 0,012*4551,9*12</t>
  </si>
  <si>
    <t>1.4.Вывоз и утилизация крупногабаритного мусора   0,06*4551,9*12</t>
  </si>
  <si>
    <t>2.2 Захоронение  ТБО     234*1,5м3*35,02</t>
  </si>
  <si>
    <t>2.3. Электроэнергия МОП   11200кВТ*2,73</t>
  </si>
  <si>
    <t>100кв.*120</t>
  </si>
  <si>
    <t>0,81*4551,9*12</t>
  </si>
  <si>
    <r>
      <t xml:space="preserve">5.Общеэксплуатационные расходы   </t>
    </r>
    <r>
      <rPr>
        <sz val="9"/>
        <rFont val="Arial Cyr"/>
        <family val="0"/>
      </rPr>
      <t>1,63*4551,9*12</t>
    </r>
  </si>
  <si>
    <t>Директор   " ООО ЖЭУ-6"</t>
  </si>
  <si>
    <t>________________________Хабаров М.А.</t>
  </si>
  <si>
    <t>80кв.*120</t>
  </si>
  <si>
    <t>ул.1-ая Краснкая, дом 18Б</t>
  </si>
  <si>
    <t>355,0/3080=0,115</t>
  </si>
  <si>
    <t>320,5/30000=0,01</t>
  </si>
  <si>
    <t>0,125ед.</t>
  </si>
  <si>
    <t>2.4.Дезинсекция контейнеров 0,002*628,1*12</t>
  </si>
  <si>
    <t>2.6.Аварийная служба 0,29*628,1*12</t>
  </si>
  <si>
    <t>2.7.ТО вентканалов  16шт*5,44+(16шт*16,17*4)</t>
  </si>
  <si>
    <t xml:space="preserve">5.Общеэксплуатационные(управленческие)расходы                              </t>
  </si>
  <si>
    <t xml:space="preserve">6.Внеэксплуатационные расходы  </t>
  </si>
  <si>
    <t>0,003*682,1*12</t>
  </si>
  <si>
    <t>2.2 Захоронение  ТБО     11,875м3*35,02*12</t>
  </si>
  <si>
    <t>2.3. Электроэнергия МОП    5900кВТ*2,73</t>
  </si>
  <si>
    <t>2.7.ТО вентканалов  40шт*5,44+(40шт*16,17)*4</t>
  </si>
  <si>
    <t>2.3. Электроэнергия МОП    18400кВТ*2,73</t>
  </si>
  <si>
    <t>2.4.Дезинсекция,дизенсекция 0,002*3174,4*12</t>
  </si>
  <si>
    <t>2.7.ТО вентканалов  60шт*5,44</t>
  </si>
  <si>
    <t>2этажа,1подъезда</t>
  </si>
  <si>
    <t>2.6.ТО вентканалов  и дымоходов  8шт*5,44+(8шт*16,17)*4</t>
  </si>
  <si>
    <t>ул.1-ая Красная, дом 23</t>
  </si>
  <si>
    <t>304/3080=0,1</t>
  </si>
  <si>
    <t>761/30000=0,025</t>
  </si>
  <si>
    <t>2.2 Захоронение  ТБО     12м3*35,02</t>
  </si>
  <si>
    <t>2.3. Электроэнергия МОП  1150кВТ*2,73</t>
  </si>
  <si>
    <t>2.4.Дезинсекция,дизенсекция  0,002*288,5*12</t>
  </si>
  <si>
    <t>2.5.Аварийная служба 0,29*288,5*12</t>
  </si>
  <si>
    <t>8кв.*120</t>
  </si>
  <si>
    <t>0,003*288,5*12</t>
  </si>
  <si>
    <t>Наименование статей</t>
  </si>
  <si>
    <t>1.Благоустройство и санитарная очистка домовладений</t>
  </si>
  <si>
    <t>2.Содержание домохозяйства</t>
  </si>
  <si>
    <t xml:space="preserve"> </t>
  </si>
  <si>
    <t>руб.</t>
  </si>
  <si>
    <t>Газон</t>
  </si>
  <si>
    <t>Площадь,м2</t>
  </si>
  <si>
    <t>Дома</t>
  </si>
  <si>
    <t>Лестничных клеток</t>
  </si>
  <si>
    <t>Асф. дворовый</t>
  </si>
  <si>
    <t>Асф.ульчный</t>
  </si>
  <si>
    <t>Дворник</t>
  </si>
  <si>
    <t>1.1.Зарплата дворника</t>
  </si>
  <si>
    <t>Всего:расходов</t>
  </si>
  <si>
    <t>Тариф на содержание жилья для населения составляет:</t>
  </si>
  <si>
    <t>2.7. ТО ВДГО</t>
  </si>
  <si>
    <t xml:space="preserve">Управленческие расходы </t>
  </si>
  <si>
    <t>УТВЕРЖДАЮ</t>
  </si>
  <si>
    <t>3.Текущий ремонт</t>
  </si>
  <si>
    <t xml:space="preserve">4.Прочие  расходы </t>
  </si>
  <si>
    <t xml:space="preserve">5.Общеэксплуатационные расходы </t>
  </si>
  <si>
    <t xml:space="preserve">7.Внеэксплуатационные расходы  </t>
  </si>
  <si>
    <t>8.Себестоимость  оказанных  услуг</t>
  </si>
  <si>
    <t>Всего: расходов</t>
  </si>
  <si>
    <t>0,48ед.</t>
  </si>
  <si>
    <t>831,7/3080=0,27</t>
  </si>
  <si>
    <t>375/2500=0,15</t>
  </si>
  <si>
    <t>2278,2/30000=0,06</t>
  </si>
  <si>
    <t>2.4.Дезинсекция контейнеров 0,002*3033,4*12</t>
  </si>
  <si>
    <t>2.5.Аварийная служба 0,29*3033,4*12</t>
  </si>
  <si>
    <t>0,003*3033,4*12</t>
  </si>
  <si>
    <t xml:space="preserve">4.Общецеховые  расходы </t>
  </si>
  <si>
    <t xml:space="preserve">                   от всех расходов</t>
  </si>
  <si>
    <t>2.4.Дезинсекция контейнеров 0,002*2661,0*12</t>
  </si>
  <si>
    <t>нет</t>
  </si>
  <si>
    <t>2.8. ТО ВДГО</t>
  </si>
  <si>
    <t xml:space="preserve">6.Общеэксплуатационные(управленческие)расходы                              </t>
  </si>
  <si>
    <t>ул.Станкозаводская, дом 8</t>
  </si>
  <si>
    <t>763,9/3080=0,25</t>
  </si>
  <si>
    <t>1123,3/30000=0,04</t>
  </si>
  <si>
    <t>0,29ед.</t>
  </si>
  <si>
    <t>2.6.Аварийная служба 0,29*2351,2,*12</t>
  </si>
  <si>
    <t>0,003*2351,2*12</t>
  </si>
  <si>
    <t>2.6.Аварийная служба 0,29*3174,4*12</t>
  </si>
  <si>
    <t>0,003*3174,4*12</t>
  </si>
  <si>
    <t>1079,6/3080=0,35</t>
  </si>
  <si>
    <t>3603,4/30000=0,12</t>
  </si>
  <si>
    <t>0,47ед.</t>
  </si>
  <si>
    <t>ул.Молодцова , дом 11корп.2</t>
  </si>
  <si>
    <t xml:space="preserve">6.Общеэксплуатационные расходы                              </t>
  </si>
  <si>
    <t>Директор    " ООО ЖЭУ-6"</t>
  </si>
  <si>
    <t>11,5%</t>
  </si>
  <si>
    <t>Уполномоченный представитель собственников</t>
  </si>
  <si>
    <t>СОГЛАСОВАННО:</t>
  </si>
  <si>
    <t>ул.Луговая,дом 3</t>
  </si>
  <si>
    <t>822,4/3080=0,27</t>
  </si>
  <si>
    <t>1428,8/30000=0,05</t>
  </si>
  <si>
    <t>0,32ед.</t>
  </si>
  <si>
    <t>2.4.Дезинсекция контейнеров 0,002*3373,2*12</t>
  </si>
  <si>
    <t>2.5.Аварийная служба 0,29*3373,2*12</t>
  </si>
  <si>
    <t>0,003*3373,2*12</t>
  </si>
  <si>
    <t>ул.Карла Маркса,дом 6</t>
  </si>
  <si>
    <t>1219,0/3080=0,40</t>
  </si>
  <si>
    <t>2756,4/30000=0,1</t>
  </si>
  <si>
    <t>0,5ед.</t>
  </si>
  <si>
    <t>2.4.Дезинсекция контейнеров 0,002*3579,9*12</t>
  </si>
  <si>
    <t>2.5.Аварийная служба 0,29*3579,9*12</t>
  </si>
  <si>
    <t>0,003*3579,9*12</t>
  </si>
  <si>
    <t>1.3.Приобретение песко-соляной смеси 0,014*288,5*12</t>
  </si>
  <si>
    <t>1.3.Приобретение песко-соляной смеси 0,014*3174,4*12</t>
  </si>
  <si>
    <t>2.2 Захоронение  ТБО     225м3*35,02</t>
  </si>
  <si>
    <t>1.3.Приобретение песко-соляной смеси 0,014*3373,2*12</t>
  </si>
  <si>
    <t>2.2 Захоронение  ТБО     237м3*35,02</t>
  </si>
  <si>
    <t>2.3. Электроэнергия МОП   7300кВТ*2,73</t>
  </si>
  <si>
    <t>2.6.ТО вентканалов  и дымоходов  70шт*5,44+(70шт*16,17*4)</t>
  </si>
  <si>
    <t xml:space="preserve">5.Общеэксплуатационные расходы              </t>
  </si>
  <si>
    <t>1.3.Приобретение песко-соляной смеси 0,014*3033,4*12</t>
  </si>
  <si>
    <t>2.2 Захоронение  ТБО     207м3*35,02</t>
  </si>
  <si>
    <t>2.3. Электроэнергия МОП   7600кВТ*2,73</t>
  </si>
  <si>
    <t>48кв.*120</t>
  </si>
  <si>
    <t>1.3.Приобретение песко-соляной смеси 0,014*3579,9*12</t>
  </si>
  <si>
    <t>2.2 Захоронение  ТБО     255м3*35,02</t>
  </si>
  <si>
    <t>2.3. Электроэнергия МОП   4600кВТ*2,73</t>
  </si>
  <si>
    <t>2.6.ТО вентканалов   80шт*5,44+(80шт*16,17)</t>
  </si>
  <si>
    <t>400/3080=0,13</t>
  </si>
  <si>
    <t>1500/30000=0,05</t>
  </si>
  <si>
    <t>1.3.Приобретение песко-соляной смеси 0,014*2044,0*12</t>
  </si>
  <si>
    <t>2.1.Сбор и вывоз ТБО   90чел.*1,5=135*90,3</t>
  </si>
  <si>
    <t>2.3. Электроэнергия МОП   4400кВТ*2,73</t>
  </si>
  <si>
    <t>2.4.Дезинсекция контейнеров 0,002*2044,0*12</t>
  </si>
  <si>
    <t>2.5.Аварийная служба 0,29*2044,0*12</t>
  </si>
  <si>
    <t>0,003*2044,0*12</t>
  </si>
  <si>
    <t>2.6.ТО вентканалов   48шт*5,44+(48шт*16,17)*4</t>
  </si>
  <si>
    <t>ул.Космонавтов ,дом 7</t>
  </si>
  <si>
    <t>981,1/3080=0,32</t>
  </si>
  <si>
    <t>2943,7/30000=0,1</t>
  </si>
  <si>
    <t>0,42ед.</t>
  </si>
  <si>
    <t>60кв.*120</t>
  </si>
  <si>
    <t>1.3.Приобретение песко-соляной смеси 0,014*2715,6*12</t>
  </si>
  <si>
    <t>2.4.Дезинсекция контейнеров 0,002*2715,6*12</t>
  </si>
  <si>
    <r>
      <t xml:space="preserve">5.Общеэксплуатационные расходы   </t>
    </r>
    <r>
      <rPr>
        <sz val="9"/>
        <rFont val="Arial Cyr"/>
        <family val="0"/>
      </rPr>
      <t xml:space="preserve">      1,24*2044,0*12</t>
    </r>
  </si>
  <si>
    <t>7.Себестоимость  оказанных  услуг</t>
  </si>
  <si>
    <t>8.Рентабельность 6%</t>
  </si>
  <si>
    <t>ул.Бронная ,дом 22</t>
  </si>
  <si>
    <t>0,18ед.</t>
  </si>
  <si>
    <t>2.2 Захоронение  ТБО   135*м3*35,02</t>
  </si>
  <si>
    <t>1067,3/3080=0,347</t>
  </si>
  <si>
    <t>2723,2/30000=0,09</t>
  </si>
  <si>
    <t>0,438ед.</t>
  </si>
  <si>
    <t>2.2 Захоронение  ТБО     330м3*35,02</t>
  </si>
  <si>
    <t>2.3. Электроэнергия МОП   19600кВТ*2,73</t>
  </si>
  <si>
    <t>2.4.Дезинсекция контейнеров 0,002*2864,5*12</t>
  </si>
  <si>
    <t>2.6.Аварийная служба 0,29*2864,5*12</t>
  </si>
  <si>
    <t>13*120</t>
  </si>
  <si>
    <t>0,003*2864,5*12</t>
  </si>
  <si>
    <t>ул.Старореченкая,дом 15корп.1</t>
  </si>
  <si>
    <t>3подъезда,5этажей</t>
  </si>
  <si>
    <t>ул.Старореченкая,дом 32А</t>
  </si>
  <si>
    <t>1131,0/3080=0,367</t>
  </si>
  <si>
    <t>2840,0/30000=0,095</t>
  </si>
  <si>
    <t>0,462ед.</t>
  </si>
  <si>
    <t>100*120</t>
  </si>
  <si>
    <t>2.2 Захоронение  ТБО     351м3*35,02</t>
  </si>
  <si>
    <t>2.3. Электроэнергия МОП   11000кВТ*2,73</t>
  </si>
  <si>
    <t>ул.Старореченкая,дом 32Б</t>
  </si>
  <si>
    <t>6подъезда,5этажей</t>
  </si>
  <si>
    <t>2.4.Дезинсекция контейнеров 0,002*4551,9*12</t>
  </si>
  <si>
    <t>2.6.Аварийная служба 0,29*4551,9*12</t>
  </si>
  <si>
    <t>0,003*4551,9*12</t>
  </si>
  <si>
    <t>2.7.ТО вентканалов   100шт*5,44+(100шт*16,17)</t>
  </si>
  <si>
    <t>9.Плановые накопления</t>
  </si>
  <si>
    <t>Смета доходов и расходов на 2012год</t>
  </si>
  <si>
    <t>ул.Новикова -Прибоя ,дом 18</t>
  </si>
  <si>
    <t xml:space="preserve">а)Дворник  </t>
  </si>
  <si>
    <t>2.1.Сбор и вывоз ТБО   270*101,01</t>
  </si>
  <si>
    <t>2.2 Захоронение  ТБО   270*м3*35,02</t>
  </si>
  <si>
    <t>2.3. Электроэнергия МОП  8500кВТ*2,73</t>
  </si>
  <si>
    <t>2.4.Дезинсекция контейнеров 0,002*3231,7*12</t>
  </si>
  <si>
    <t>2.6.ТО вентканалов   78шт*5,44+(78шт*16,17)*4</t>
  </si>
  <si>
    <t>78кв.*120</t>
  </si>
  <si>
    <t>1.4.Вывоз и утилизация крупногабаритного мусора   0,1*2044,0*12</t>
  </si>
  <si>
    <t>1.2Приобретение спецодежды и инвентаря 0,028*3231,7*12</t>
  </si>
  <si>
    <t>1.3.Приобретение песко-соляной смеси 0,014*3231,7*12</t>
  </si>
  <si>
    <t>2.5.Аварийная служба 0,29*3231,7*12</t>
  </si>
  <si>
    <t>2.8 Содержание и ремонт дворового оборудования  0,05*3231,7*12</t>
  </si>
  <si>
    <t>0,9*3231,7*12</t>
  </si>
  <si>
    <t>ЖСК "Весенний"</t>
  </si>
  <si>
    <t>_____________________Хабаров М.А.</t>
  </si>
  <si>
    <t>Директор ООО ЖЭУ-6</t>
  </si>
  <si>
    <t>ул.Октябрьская ,дом 1</t>
  </si>
  <si>
    <t>566,5/3080=0,18</t>
  </si>
  <si>
    <t>0,21ед.</t>
  </si>
  <si>
    <t>863,9/30000=0,03</t>
  </si>
  <si>
    <t>2.4.Дезинсекция контейнеров 0,002*2050,9*12</t>
  </si>
  <si>
    <t>2.5.Аварийная служба 0,29*2050,9*12</t>
  </si>
  <si>
    <t>0,003*2050,9*12</t>
  </si>
  <si>
    <t>ул.Молодцова , дом 5корп.1</t>
  </si>
  <si>
    <t>345,0/3080=0,112</t>
  </si>
  <si>
    <t>0,241ед.</t>
  </si>
  <si>
    <t>3870,0/30000=0,129</t>
  </si>
  <si>
    <t>2.4.Дезинсекция контейнеров 0,002*2571,2*12</t>
  </si>
  <si>
    <t>2.6.Аварийная служба 0,29*2571,2*12</t>
  </si>
  <si>
    <t xml:space="preserve">6.Общеэксплуатационные  расходы                              </t>
  </si>
  <si>
    <t>0,003*2571,2*12</t>
  </si>
  <si>
    <t>2.1.Сбор и вывоз ТБО 148чел.*1,5/12=18,5*101,01*12</t>
  </si>
  <si>
    <t>2.2 Захоронение  ТБО   18,5м3*35,02*12</t>
  </si>
  <si>
    <t>2.3. Электроэнергия МОП    5500кВТ*2,73</t>
  </si>
  <si>
    <t>2.7.ТО вентканалов  64шт*5,44+(64шт*16,17)*4</t>
  </si>
  <si>
    <t>64кв.*120руб</t>
  </si>
  <si>
    <t>ул.Станкозаводская, дом 2к1</t>
  </si>
  <si>
    <t>433,0/3080=0,14</t>
  </si>
  <si>
    <t>0,205ед.</t>
  </si>
  <si>
    <t>1950,0/30000=0,065</t>
  </si>
  <si>
    <t>2.4.Дезинсекция контейнеров 0,002*2670,9*12</t>
  </si>
  <si>
    <t>2.6.Аварийная служба 0,29*2670,9*12</t>
  </si>
  <si>
    <t>0,003*2670,9*12</t>
  </si>
  <si>
    <t>а)Дворник   0,205*5800+75%+20,3%*12</t>
  </si>
  <si>
    <t>1.3.Приобретение песко-соляной смеси 0,014*2670,9*12</t>
  </si>
  <si>
    <t>2.1.Сбор и вывоз ТБО  142чел.*1,5=213*101,01</t>
  </si>
  <si>
    <t>2.2 Захоронение  ТБО    213м3*35,02*12</t>
  </si>
  <si>
    <t>2.3. Электроэнергия МОП    6300кВТ*2,73</t>
  </si>
  <si>
    <t>2.7.ТО вентканалов  60шт*5,44+(60шт*17,16)*4</t>
  </si>
  <si>
    <t>60*120</t>
  </si>
  <si>
    <t>ул.Молодежная,дом 21к2</t>
  </si>
  <si>
    <t>729,0/3080=0,299</t>
  </si>
  <si>
    <t>0,363ед.</t>
  </si>
  <si>
    <t>1929/30000=0,064</t>
  </si>
  <si>
    <t>а)Дворник   0,363*5800+75%+20,3%*12</t>
  </si>
  <si>
    <t>б)уборщица</t>
  </si>
  <si>
    <t>-</t>
  </si>
  <si>
    <t>1.3.Приобретение песко-соляной смеси 0,014*2480,2*12</t>
  </si>
  <si>
    <t>2.4.Дезинсекция контейнеров 0,002*2480,2*12</t>
  </si>
  <si>
    <t>2.5. Дератизация подвала  1,44*672,1</t>
  </si>
  <si>
    <t>2.5.Аварийная служба 0,29*2480,2*12</t>
  </si>
  <si>
    <t>2.6.ТО вентканалов   30шт*5,44</t>
  </si>
  <si>
    <t>0,003*2480,2*12</t>
  </si>
  <si>
    <t>8.Плановые накопления</t>
  </si>
  <si>
    <t>1.4.Вывоз и утилизация крупногабаритного мусора   0,06*2480,2*12</t>
  </si>
  <si>
    <t>2.1.Сбор и вывоз ТБО  79чел.*1,5=118,5*101,01</t>
  </si>
  <si>
    <t>2.2 Захоронение  ТБО     118,5м3*35,02</t>
  </si>
  <si>
    <t>30кв.*120</t>
  </si>
  <si>
    <t>ул.1-ая Красная, дом 16</t>
  </si>
  <si>
    <t>1.1.Зарплата дворника(уборка контейнерной площадки)</t>
  </si>
  <si>
    <t>2.4.Дезинсекция,дизенсекция  0,002*310,2*12</t>
  </si>
  <si>
    <t>2.5.Аварийная служба 0,29*310,2*12</t>
  </si>
  <si>
    <t>2.6.ТО вентканалов  и дымоходов  6шт*5,44+(6шт*16,17)</t>
  </si>
  <si>
    <t>0,003*310,2*12</t>
  </si>
  <si>
    <t>ул.1-ая Краснкая, дом 18А</t>
  </si>
  <si>
    <t>443,53080=0,144</t>
  </si>
  <si>
    <t>0,156ед.</t>
  </si>
  <si>
    <t>362,5/30000=0,012</t>
  </si>
  <si>
    <t>2.3. Электроэнергия МОП    900кВТ*2,73</t>
  </si>
  <si>
    <t>2.4.Дезинсекция контейнеров 0,002*636,6*12</t>
  </si>
  <si>
    <t>2.6.Аварийная служба 0,29*636,6*12</t>
  </si>
  <si>
    <t>а)Дворник   0,006*5800+75%+20,3%*12</t>
  </si>
  <si>
    <t>1.3.Приобретение песко-соляной смеси 0,014*310,2*12</t>
  </si>
  <si>
    <t>1.4.Вывоз и утилизация крупногабаритного мусора  0,06*310,2*12</t>
  </si>
  <si>
    <t>2.1.Сбор и вывоз ТБО 10чел.*1,5=15*101,01</t>
  </si>
  <si>
    <t>2.2 Захоронение  ТБО     15м3*35,02</t>
  </si>
  <si>
    <t>а)Дворник   0,156*5800+75%+20,3%*12</t>
  </si>
  <si>
    <t>1.3.Приобретение песко-соляной смеси 0,014*636,6*12</t>
  </si>
  <si>
    <t>1.4.Вывоз и утилизация крупногабаритного мусора   0,06*636,6*12</t>
  </si>
  <si>
    <t>2.1.Сбор и вывоз ТБО   25чел.*1,5=37,5*101,01</t>
  </si>
  <si>
    <t>2.2 Захоронение  ТБО     37,5м3*35,02</t>
  </si>
  <si>
    <t>2.5. Дератизация подвала  1,44*151,9кв.м.</t>
  </si>
  <si>
    <t>а)Дворник   0,125*5800+75%+20,3%*12</t>
  </si>
  <si>
    <t>1.4.Вывоз и утилизация крупногабаритного мусора  0,06*288,5*12</t>
  </si>
  <si>
    <t>2.1.Сбор и вывоз ТБО   36чел.*1,5=54*101,01</t>
  </si>
  <si>
    <t>2.2 Захоронение  ТБО     54м3*35,02</t>
  </si>
  <si>
    <t>2.3. Электроэнергия МОП    1400кВТ*2,73</t>
  </si>
  <si>
    <t>2.5. Дератизация подвала  1,44*436,3</t>
  </si>
  <si>
    <t>1.4.Вывоз и утилизация крупногабаритного мусора   0,06*628,1*12</t>
  </si>
  <si>
    <t>а)Дворник   0,241*5800+75%+20,3%*12</t>
  </si>
  <si>
    <t>ул.1-ая Красная, дом 28</t>
  </si>
  <si>
    <t>1600,0/3080=0,52</t>
  </si>
  <si>
    <t>0,64ед.</t>
  </si>
  <si>
    <t>2.4.Дезинсекция,дизенсекция 0,002*9711,5*12</t>
  </si>
  <si>
    <t>2.5. Дератизация подвала  1,44*2885</t>
  </si>
  <si>
    <t>2.6.Аварийная служба 0,29*9711,5*12</t>
  </si>
  <si>
    <t>2.7.ТО вентканалов  179шт*5,44</t>
  </si>
  <si>
    <t>0,003*9711,5*12</t>
  </si>
  <si>
    <t>2.1.Сбор и вывоз ТБО   460чел.*1,5м3*101,01</t>
  </si>
  <si>
    <t>1.3.Приобретение песко-соляной смеси 0,014*9711,5*12</t>
  </si>
  <si>
    <t>а)Дворник   0,64*5800+100%+20,3%*12</t>
  </si>
  <si>
    <t>а)Дворник   0,462*5800+100%+20,3%*12</t>
  </si>
  <si>
    <t>1.3.Приобретение песко-соляной смеси 0,014*4551,9*12</t>
  </si>
  <si>
    <t>2.1.Сбор и вывоз ТБО   234чел.*1,5=351*101,01</t>
  </si>
  <si>
    <t>2.5. Дератизация подвала  1,44*1100</t>
  </si>
  <si>
    <t>0,003*3616,4*12</t>
  </si>
  <si>
    <t>2.6.ТО вентканалов   65шт*5,44</t>
  </si>
  <si>
    <t>2.5.Аварийная служба 0,29*3376,6*12</t>
  </si>
  <si>
    <t>2.5. Дератизация подвала  1,44*1010,3</t>
  </si>
  <si>
    <t>2.4.Дезинсекция контейнеров 0,002*3616,4*12</t>
  </si>
  <si>
    <t>1939/30000=0,065</t>
  </si>
  <si>
    <t>0,564ед.</t>
  </si>
  <si>
    <t>1535,5/3080=0,499</t>
  </si>
  <si>
    <t>улСтарореченская,дом 2к1</t>
  </si>
  <si>
    <t>а)Дворник   0,564*5800+100%+20,3%*12</t>
  </si>
  <si>
    <t>1.3.Приобретение песко-соляной смеси 0,014*3616,4*12</t>
  </si>
  <si>
    <t>2.1.Сбор и вывоз ТБО   180чел.*1,5м3=270*101,01</t>
  </si>
  <si>
    <t>ул.Молодцова , дом 4 корп.1</t>
  </si>
  <si>
    <t>1330/3080=0,43</t>
  </si>
  <si>
    <t>0,485ед.</t>
  </si>
  <si>
    <t>1658,0/30000=0,055</t>
  </si>
  <si>
    <t>2.4.Дезинсекция контейнеров 0,002*2369,1*12</t>
  </si>
  <si>
    <t>2.6.Аварийная служба 0,29*2369,1*12</t>
  </si>
  <si>
    <t>а)Дворник   0,485*5800+100%+20,3%*12</t>
  </si>
  <si>
    <t>2.1.Сбор и вывоз ТБО  117чел.*1,5м3=175,5м3*101,01</t>
  </si>
  <si>
    <t>1.3.Приобретение песко-соляной смеси 0,014*2561,7*12</t>
  </si>
  <si>
    <t>0,003*2561,7*12</t>
  </si>
  <si>
    <t>ул.Луговая,дом 1</t>
  </si>
  <si>
    <t>890/3080=0,29</t>
  </si>
  <si>
    <t>0,375ед.</t>
  </si>
  <si>
    <t>2548,5/30000=0,085</t>
  </si>
  <si>
    <t>2.4.Дезинсекция контейнеров 0,002*3397,2*12</t>
  </si>
  <si>
    <t>2.5.Аварийная служба 0,29*3397,2*12</t>
  </si>
  <si>
    <t>0,003*3397,2*12</t>
  </si>
  <si>
    <t>а)Дворник   0,375*5800+100%+20,3%*12</t>
  </si>
  <si>
    <t>1.3.Приобретение песко-соляной смеси 0,014*3397,2*12</t>
  </si>
  <si>
    <t>2.1.Сбор и вывоз ТБО   174чел.*1,5м3=261м3*101,01</t>
  </si>
  <si>
    <t>ул.Магистральная ,дом 3</t>
  </si>
  <si>
    <t>531/3080=0,17</t>
  </si>
  <si>
    <t>0,1872ед.</t>
  </si>
  <si>
    <t>516/30000=0,0172</t>
  </si>
  <si>
    <t>2.4.Дезинсекция контейнеров 0,002*3286,1*12</t>
  </si>
  <si>
    <t>2.5.Аварийная служба 0,29*3286,1*12</t>
  </si>
  <si>
    <t>0,003*3286,1*12</t>
  </si>
  <si>
    <t>а)Дворник   0,1872*5800+100%+20,3%*12</t>
  </si>
  <si>
    <t>1.3.Приобретение песко-соляной смеси 0,014*3286,1*12</t>
  </si>
  <si>
    <t>2.1.Сбор и вывоз ТБО   132чел.*1,5м3=198м3*101,01</t>
  </si>
  <si>
    <t>ул.Энгельса ,дом 6</t>
  </si>
  <si>
    <t>619,0/3080=0,2</t>
  </si>
  <si>
    <t>0,336ед.</t>
  </si>
  <si>
    <t>4082,9/30000=0,136</t>
  </si>
  <si>
    <t>2.4.Дезинсекция контейнеров 0,002*3229,7*12</t>
  </si>
  <si>
    <t>2.5.Аварийная служба 0,29*3229,7*12</t>
  </si>
  <si>
    <t>0,003*3229,7*12</t>
  </si>
  <si>
    <t>а)Дворник   0,336*5800+100%+20,3%*12</t>
  </si>
  <si>
    <t>1.3.Приобретение песко-соляной смеси 0,014*3229,7*12</t>
  </si>
  <si>
    <t>2.1.Сбор и вывоз ТБО   157чел.*1,5м3=235,5м3*101,01</t>
  </si>
  <si>
    <t>а)Дворник   0,125*5800+100%+20,3%*12</t>
  </si>
  <si>
    <t>2.1.Сбор и вывоз ТБО 8чел.*1,5=12*101,01</t>
  </si>
  <si>
    <t>2.2 Захоронение  ТБО     12м3*38,06</t>
  </si>
  <si>
    <t>2.6.ТО вентканалов  и дымоходов  8шт*5,44+(8шт*16,17)*3+8*18,07</t>
  </si>
  <si>
    <t>с 01.09.2012г.</t>
  </si>
  <si>
    <t>2.3. Электроэнергия МОП  1150кВТ*2,89</t>
  </si>
  <si>
    <t>8кв.*147</t>
  </si>
  <si>
    <t>1.2Приобретение спецодежды и инвентаря 0,012*288,5*12</t>
  </si>
  <si>
    <t>0,81*288,5*12</t>
  </si>
  <si>
    <t>1,63*288,5*12</t>
  </si>
  <si>
    <t>10.Налог при УСН</t>
  </si>
  <si>
    <t>а)Дворник   0,47*5800+75%+20,3%*12</t>
  </si>
  <si>
    <t>2.1.Сбор и вывоз ТБО   150чел.*1,5=225*101,01</t>
  </si>
  <si>
    <t>а)Дворник   0,32*5800+75%+20,3%*12</t>
  </si>
  <si>
    <t>2.2 Захоронение  ТБО     261м3*35,02</t>
  </si>
  <si>
    <t>2.3. Электроэнергия МОП   7000кВТ*2,73</t>
  </si>
  <si>
    <t>70кв.*120,0</t>
  </si>
  <si>
    <t>2.1.Сбор и вывоз ТБО   158чел.*1,5=237*101,01</t>
  </si>
  <si>
    <t>1.2Приобретение спецодежды и инвентаря 0,012*310,2*12</t>
  </si>
  <si>
    <t>0,81*310,2*12</t>
  </si>
  <si>
    <t>1,63*310,2*12</t>
  </si>
  <si>
    <t>1.2Приобретение спецодежды и инвентаря 0,012*2571,2*12</t>
  </si>
  <si>
    <t>1.3.Приобретение песко-соляной смеси 0,014*2571,2*12</t>
  </si>
  <si>
    <t>1.4.Вывоз и утилизация крупногабаритного мусора   0,06*2571,2*12</t>
  </si>
  <si>
    <t>0,81*2571,2*12</t>
  </si>
  <si>
    <t>1,63*2571,2*12</t>
  </si>
  <si>
    <t>1.2Приобретение спецодежды и инвентаря 0,012*3174,4*12</t>
  </si>
  <si>
    <t>1.4.Вывоз и утилизация крупногабаритного мусора  0,06*3174,4*12</t>
  </si>
  <si>
    <t>0,81*3174,4*12</t>
  </si>
  <si>
    <t>1,63*3174,4*12</t>
  </si>
  <si>
    <t>1.2Приобретение спецодежды и инвентаря 0,012*2561,7*12</t>
  </si>
  <si>
    <t>1.4.Вывоз и утилизация крупногабаритного мусора   0,06*2561,7*12</t>
  </si>
  <si>
    <t>2.2 Захоронение  ТБО    175,5м3*35,02</t>
  </si>
  <si>
    <t>2.3. Электроэнергия МОП    3300кВТ*2,73</t>
  </si>
  <si>
    <t>2.7.ТО вентканалов  60шт*5,44+(60шт*16,17)*4</t>
  </si>
  <si>
    <t>0,81*2561,7*12</t>
  </si>
  <si>
    <t>1,63*2561,7*12</t>
  </si>
  <si>
    <t>1.2Приобретение спецодежды и инвентаря 0,012*3397,2*12</t>
  </si>
  <si>
    <t>1.4.Вывоз и утилизация крупногабаритного мусора  0,06*3397,2*12</t>
  </si>
  <si>
    <t>0,81*3397,2*12</t>
  </si>
  <si>
    <t>1,63*3397,2*12</t>
  </si>
  <si>
    <t>1.2Приобретение спецодежды и инвентаря 0,012*3373,2*12</t>
  </si>
  <si>
    <t>1.4.Вывоз и утилизация крупногабаритного мусора  0,06*3373,2*12</t>
  </si>
  <si>
    <t>0,81*3373,2*12</t>
  </si>
  <si>
    <t>1,63*3373,2*12</t>
  </si>
  <si>
    <t>1.2Приобретение спецодежды и инвентаря 0,012*636,6*12</t>
  </si>
  <si>
    <t>0,81*636,6*12</t>
  </si>
  <si>
    <t>1,63*636,6*12</t>
  </si>
  <si>
    <t>1.2Приобретение спецодежды и инвентаря 0,012*628,1*12</t>
  </si>
  <si>
    <t>1.3.Приобретение песко-соляной смеси 0,014*628,1*12</t>
  </si>
  <si>
    <t>0,81*628,1*12</t>
  </si>
  <si>
    <t>1,63*628,1*12</t>
  </si>
  <si>
    <t>1.2Приобретение спецодежды и инвентаря 0,012*9711,5*12</t>
  </si>
  <si>
    <t>1.4.Вывоз и утилизация крупногабаритного мусора  0,06*9711,5*12</t>
  </si>
  <si>
    <t>2.2 Захоронение  ТБО     460чел.*1,5м3*35,02</t>
  </si>
  <si>
    <t>2.3. Электроэнергия МОП    28300кВТ*2,73</t>
  </si>
  <si>
    <t>179кв.*120</t>
  </si>
  <si>
    <t>0,81*9711,5*12</t>
  </si>
  <si>
    <t>1,63*9711,5*12</t>
  </si>
  <si>
    <t>ул.1-ая Красная, дом 28к1</t>
  </si>
  <si>
    <t>492,0/3080=0,16</t>
  </si>
  <si>
    <t>0,196ед.</t>
  </si>
  <si>
    <t>1093,0/30000=0,036</t>
  </si>
  <si>
    <t>а)Дворник   0,196*5800+75%+20,3%*12</t>
  </si>
  <si>
    <t>2.1.Сбор и вывоз ТБО   60чел.*1,5м3*101,01</t>
  </si>
  <si>
    <t>2.4.Дезинсекция,дизенсекция 0,002*1630,8*12</t>
  </si>
  <si>
    <t>0,003*1630,8*12</t>
  </si>
  <si>
    <t>1.2Приобретение спецодежды и инвентаря 0,012*1630,8*12</t>
  </si>
  <si>
    <t>1.3.Приобретение песко-соляной смеси 0,014*1630,8*12</t>
  </si>
  <si>
    <t>1.4.Вывоз и утилизация крупногабаритного мусора  0,06*1630,8*12</t>
  </si>
  <si>
    <t>2.2 Захоронение  ТБО     60чел.*1,5м3*35,02</t>
  </si>
  <si>
    <t>2.3. Электроэнергия МОП    9000кВТ*2,73</t>
  </si>
  <si>
    <t>2.5. Дератизация подвала  1,44*420,6</t>
  </si>
  <si>
    <t>2.6.Аварийная служба 0,29*1630,8*12</t>
  </si>
  <si>
    <t>2.7.ТО вентканалов  36шт*5,44</t>
  </si>
  <si>
    <t>0,81*1630,8*12</t>
  </si>
  <si>
    <t>1,63*1630,8*12</t>
  </si>
  <si>
    <t>ул.1-ая Красная, дом 28к2</t>
  </si>
  <si>
    <t>650,0/3080=0,21</t>
  </si>
  <si>
    <t>0,229ед.</t>
  </si>
  <si>
    <t>570/30000=0,019</t>
  </si>
  <si>
    <t>а)Дворник   0,229*5800+75%+20,3%*12</t>
  </si>
  <si>
    <t>2.1.Сбор и вывоз ТБО   77чел.*1,5м3*101,01</t>
  </si>
  <si>
    <t>2.4.Дезинсекция,дизенсекция 0,002*1606,1*12</t>
  </si>
  <si>
    <t>0,003*1606,1*12</t>
  </si>
  <si>
    <t>1.2Приобретение спецодежды и инвентаря 0,012*1606,1*12</t>
  </si>
  <si>
    <t>1.3.Приобретение песко-соляной смеси 0,014*1606,1*12</t>
  </si>
  <si>
    <t>1.4.Вывоз и утилизация крупногабаритного мусора  0,06*1606,1*12</t>
  </si>
  <si>
    <t>2.2 Захоронение  ТБО    77чел*1,5м3*35,02</t>
  </si>
  <si>
    <t>2.3. Электроэнергия МОП    3000кВТ*2,73</t>
  </si>
  <si>
    <t>2.5. Дератизация подвала  1,44*401,4</t>
  </si>
  <si>
    <t>2.6.Аварийная служба 0,29*1606,1*12</t>
  </si>
  <si>
    <t>0,81*1606,1*12</t>
  </si>
  <si>
    <t>1,63*1606,1*12</t>
  </si>
  <si>
    <t>ул.2-ая Красная, дом 13</t>
  </si>
  <si>
    <t>245,73080=0,08</t>
  </si>
  <si>
    <t>0,11ед.</t>
  </si>
  <si>
    <t>926,8/30000=0,03</t>
  </si>
  <si>
    <t>а)Дворник   0,11*5800+75%+20,3%*12</t>
  </si>
  <si>
    <t>2.1.Сбор и вывоз ТБО   81чел.*1,5м3*101,01</t>
  </si>
  <si>
    <t>2.4.Дезинсекция,дизенсекция 0,002*1107,81*12</t>
  </si>
  <si>
    <t>0,003*1107,8*12</t>
  </si>
  <si>
    <t>1.2Приобретение спецодежды и инвентаря 0,012*1107,8*12</t>
  </si>
  <si>
    <t>1.3.Приобретение песко-соляной смеси 0,014*1107,8*12</t>
  </si>
  <si>
    <t>1.4.Вывоз и утилизация крупногабаритного мусора  0,06*1107,8*12</t>
  </si>
  <si>
    <t>2.2 Захоронение  ТБО    81чел.*1,5м3*35,02</t>
  </si>
  <si>
    <t>2.3. Электроэнергия МОП    2550кВТ*2,73</t>
  </si>
  <si>
    <t>2.5. Дератизация подвала  1,44*437кв.м.</t>
  </si>
  <si>
    <t>2.6.Аварийная служба 0,29*1107,8*12</t>
  </si>
  <si>
    <t>2.7.ТО вентканалов 24шт*5,44+24*16,17</t>
  </si>
  <si>
    <t>0,81*1107,8*12</t>
  </si>
  <si>
    <t>1,63*1107,8*12</t>
  </si>
  <si>
    <t>а)Дворник   0,5*5800+75%+20,3%*12</t>
  </si>
  <si>
    <t>1.2Приобретение спецодежды и инвентаря 0,012*3579,9*12</t>
  </si>
  <si>
    <t>1.4.Вывоз и утилизация крупногабаритного мусора   0,06*3579,9*12</t>
  </si>
  <si>
    <t>2.1.Сбор и вывоз ТБО   170чел.*1,5=255*101,01</t>
  </si>
  <si>
    <t>0,81*3579,9*12</t>
  </si>
  <si>
    <r>
      <t xml:space="preserve">6.Управленческие расходы                              </t>
    </r>
    <r>
      <rPr>
        <sz val="9"/>
        <rFont val="Arial Cyr"/>
        <family val="0"/>
      </rPr>
      <t>1,63*3579,9*12</t>
    </r>
  </si>
  <si>
    <t>а)Дворник   0,42*5800+75%+20,3%*12</t>
  </si>
  <si>
    <t>2.1.Сбор и вывоз ТБО   146чел.*1,5м3*101,01</t>
  </si>
  <si>
    <t>0,003*2715,6*12</t>
  </si>
  <si>
    <t>Председатель ЖСК "Заря-2"</t>
  </si>
  <si>
    <t>Корсаков М.С.</t>
  </si>
  <si>
    <t>1.2Приобретение спецодежды и инвентаря 0,012*2715,6*12</t>
  </si>
  <si>
    <t>1.4.Вывоз и утилизация крупногабаритного мусора   0,06*2715,6*12</t>
  </si>
  <si>
    <t>2.2 Захоронение  ТБО   146чел.*1,5м3*35,02</t>
  </si>
  <si>
    <t>2.3. Электроэнергия МОП   6300кВТ*2,73</t>
  </si>
  <si>
    <t>2.5.Аварийная служба 0,29*2715,6*12</t>
  </si>
  <si>
    <t>0,81*2715,6*12</t>
  </si>
  <si>
    <t>а)Дворник   0,18*5800+75%+20,3%*12</t>
  </si>
  <si>
    <t>1.2Приобретение спецодежды и инвентаря 0,012*2044,0*12</t>
  </si>
  <si>
    <t>1.4.Вывоз и утилизация крупногабаритного мусора   0,06*2044,0*12</t>
  </si>
  <si>
    <t>0,81*2044,0*12</t>
  </si>
  <si>
    <r>
      <t xml:space="preserve">5.Общеэксплуатационные расходы   </t>
    </r>
    <r>
      <rPr>
        <sz val="9"/>
        <rFont val="Arial Cyr"/>
        <family val="0"/>
      </rPr>
      <t xml:space="preserve">      1,63*2044,0*12</t>
    </r>
  </si>
  <si>
    <t>ул.Луговая  дом 1ж</t>
  </si>
  <si>
    <t>2.1.Сбор и вывоз ТБО 14чел.*1,5*101,01</t>
  </si>
  <si>
    <t>2.4.Дезинсекция,дизенсекция  0,002*244,0*12</t>
  </si>
  <si>
    <t>0,003*244,0*12</t>
  </si>
  <si>
    <t>1.2Приобретение спецодежды и инвентаря 0,012*244,0*12</t>
  </si>
  <si>
    <t>1.3.Приобретение песко-соляной смеси 0,014*244,0*12</t>
  </si>
  <si>
    <t>1.4.Вывоз и утилизация крупногабаритного мусора  0,06*244,0*12</t>
  </si>
  <si>
    <t>2.2 Захоронение  ТБО     14чел.*1,5м3*35,02</t>
  </si>
  <si>
    <t>2.5.Аварийная служба 0,29*244,0*12</t>
  </si>
  <si>
    <t>2.6.ТО вентканалов  и дымоходов  6шт*5,44+(6шт*16,17)*2</t>
  </si>
  <si>
    <t>0,81*244,0*12</t>
  </si>
  <si>
    <t>1,63*244,0*12</t>
  </si>
  <si>
    <t>а)Дворник   0,462*5800+75%+20,3%*12</t>
  </si>
  <si>
    <t>ул.Старореченкая,дом 56</t>
  </si>
  <si>
    <t>1660,0/3080=0,539</t>
  </si>
  <si>
    <t>0,596ед.</t>
  </si>
  <si>
    <t>1720/30000=0,057</t>
  </si>
  <si>
    <t>а)Дворник   0,596*5800+75%+20,3%*12</t>
  </si>
  <si>
    <t>2.1.Сбор и вывоз ТБО   220чел.*1,5м3*101,01</t>
  </si>
  <si>
    <t>2.4.Дезинсекция контейнеров 0,002*4606,9*12</t>
  </si>
  <si>
    <t>0,003*4602,2*12</t>
  </si>
  <si>
    <t>1.2Приобретение спецодежды и инвентаря 0,012*4606,9*12</t>
  </si>
  <si>
    <t>1.3.Приобретение песко-соляной смеси 0,014*4606,9*12</t>
  </si>
  <si>
    <t>1.4.Вывоз и утилизация крупногабаритного мусора   0,06*4606,9*12</t>
  </si>
  <si>
    <t>2.2 Захоронение  ТБО     220чел.*1,5м3*35,02</t>
  </si>
  <si>
    <t>2.3. Электроэнергия МОП   7800кВТ*2,73</t>
  </si>
  <si>
    <t>2.5. Дератизация подвала  1,44*1164кв.м.</t>
  </si>
  <si>
    <t>2.6.Аварийная служба 0,29*4606,9*12</t>
  </si>
  <si>
    <t>0,81*4602,2*12</t>
  </si>
  <si>
    <r>
      <t xml:space="preserve">5.Общеэксплуатационные расходы   </t>
    </r>
    <r>
      <rPr>
        <sz val="9"/>
        <rFont val="Arial Cyr"/>
        <family val="0"/>
      </rPr>
      <t>1,63*4602,2*12</t>
    </r>
  </si>
  <si>
    <t>ул.Энгельса ,дом 23/9</t>
  </si>
  <si>
    <t>761,9/3080=0,247</t>
  </si>
  <si>
    <t>0,283ед.</t>
  </si>
  <si>
    <t>1094/30000=0,036</t>
  </si>
  <si>
    <t>а)Дворник   0,283*5800+75%+20,3%*12</t>
  </si>
  <si>
    <t>2.1.Сбор и вывоз ТБО   89чел.*1,5*101,01</t>
  </si>
  <si>
    <t>2.4.Дезинсекция контейнеров 0,002*1994,7*12</t>
  </si>
  <si>
    <t>2.6.ТО вентканалов   27шт*5,44+(27шт*16,17)*4</t>
  </si>
  <si>
    <t>0,003*1994,7*12</t>
  </si>
  <si>
    <t>1.2Приобретение спецодежды и инвентаря 0,012*1994,7*12</t>
  </si>
  <si>
    <t>1.3.Приобретение песко-соляной смеси 0,014*1994,7*12</t>
  </si>
  <si>
    <t>1.4.Вывоз и утилизация крупногабаритного мусора   0,06*1994,7*12</t>
  </si>
  <si>
    <t>2.2 Захоронение  ТБО     89чел.*1,5м3*35,02</t>
  </si>
  <si>
    <t>2.3. Электроэнергия МОП   3400кВТ*2,73</t>
  </si>
  <si>
    <t>2.5. Дератизация подвала  1,44*845</t>
  </si>
  <si>
    <t>2.5.Аварийная служба 0,29*1994,7*12</t>
  </si>
  <si>
    <t>27кв.*120</t>
  </si>
  <si>
    <t>0,81*1994,7*12</t>
  </si>
  <si>
    <r>
      <t xml:space="preserve">5.Общеэксплуатационные расходы   </t>
    </r>
    <r>
      <rPr>
        <sz val="9"/>
        <rFont val="Arial Cyr"/>
        <family val="0"/>
      </rPr>
      <t>1,63*1994,7*12</t>
    </r>
  </si>
  <si>
    <t>ул.Магистральная ,дом 2</t>
  </si>
  <si>
    <t>782/3080=0,25</t>
  </si>
  <si>
    <t>0,368ед.</t>
  </si>
  <si>
    <t>3533/30000=0,118</t>
  </si>
  <si>
    <t>а)Дворник   0,368*5800+75%+20,3%*12</t>
  </si>
  <si>
    <t>2.4.Дезинсекция контейнеров 0,002*3223,3*12</t>
  </si>
  <si>
    <t>0,003*3223,3*12</t>
  </si>
  <si>
    <t>1.2Приобретение спецодежды и инвентаря 0,012*3223,3*12</t>
  </si>
  <si>
    <t>1.3.Приобретение песко-соляной смеси 0,014*3223,3*12</t>
  </si>
  <si>
    <t>1.4.Вывоз и утилизация крупногабаритного мусора   0,06*3223,3*12</t>
  </si>
  <si>
    <t>2.5.Аварийная служба 0,29*3223,3*12</t>
  </si>
  <si>
    <t>0,81*3223,3*12</t>
  </si>
  <si>
    <r>
      <t xml:space="preserve">5.Общеэксплуатационные расходы    </t>
    </r>
    <r>
      <rPr>
        <sz val="9"/>
        <rFont val="Arial Cyr"/>
        <family val="0"/>
      </rPr>
      <t xml:space="preserve"> 1,63*3223,3*12</t>
    </r>
  </si>
  <si>
    <t>2.6.ТО вентканалов   80шт*5,44+(80шт*16,17)*4</t>
  </si>
  <si>
    <t>ул.Магистральная ,дом 2к1</t>
  </si>
  <si>
    <t>955,2/3080=0,31</t>
  </si>
  <si>
    <t>0,397ед.</t>
  </si>
  <si>
    <t>2598,2/30000=0,087</t>
  </si>
  <si>
    <t>а)Дворник   0,397*5800+75%+20,3%*12</t>
  </si>
  <si>
    <t>1.2Приобретение спецодежды и инвентаря 0,012*2362,5*12</t>
  </si>
  <si>
    <t>1.3.Приобретение песко-соляной смеси 0,014*2362,51*12</t>
  </si>
  <si>
    <t>1.4.Вывоз и утилизация крупногабаритного мусора   0,06*2362,5*12</t>
  </si>
  <si>
    <t>2.1.Сбор и вывоз ТБО 103чел.*1,5м3*101,01</t>
  </si>
  <si>
    <t>2.2 Захоронение  ТБО    103чел* 1,5м3*35,02</t>
  </si>
  <si>
    <t>2.4.Дезинсекция контейнеров 0,002*2362,5*12</t>
  </si>
  <si>
    <t>2.5. Дератизация подвала  1,44*750</t>
  </si>
  <si>
    <t>2.5.Аварийная служба 0,29*2362,5*12</t>
  </si>
  <si>
    <t>2.6.ТО вентканалов   45шт*5,44</t>
  </si>
  <si>
    <t>0,81*2362,5*12</t>
  </si>
  <si>
    <r>
      <t xml:space="preserve">5.Общеэксплуатационные расходы     </t>
    </r>
    <r>
      <rPr>
        <sz val="9"/>
        <rFont val="Arial Cyr"/>
        <family val="0"/>
      </rPr>
      <t>1,63*2362,5*12</t>
    </r>
  </si>
  <si>
    <t>0,003*2362,5*12</t>
  </si>
  <si>
    <t>ул.Магистральная ,дом 8</t>
  </si>
  <si>
    <t>691/3080=0,22</t>
  </si>
  <si>
    <t>0,298ед.</t>
  </si>
  <si>
    <t>2356/30000=0,078</t>
  </si>
  <si>
    <t>а)Дворник   0,298*5800+75%+20,3%*12</t>
  </si>
  <si>
    <t>2.1.Сбор и вывоз ТБО   158чел.*1,5м3*101,01</t>
  </si>
  <si>
    <t>2.4.Дезинсекция контейнеров 0,002*3216,3*12</t>
  </si>
  <si>
    <t>2.5.Аварийная служба 0,32*3216,3*12</t>
  </si>
  <si>
    <t>0,003*3216,3*12</t>
  </si>
  <si>
    <t>1.2Приобретение спецодежды и инвентаря 0,012*3216,3*12</t>
  </si>
  <si>
    <t>1.3.Приобретение песко-соляной смеси 0,014*3216,3*12</t>
  </si>
  <si>
    <t>1.4.Вывоз и утилизация крупногабаритного мусора   0,06*3216,3*12</t>
  </si>
  <si>
    <t>2.2 Захоронение  ТБО    158чел*1,5м3*35,02</t>
  </si>
  <si>
    <t>2.3. Электроэнергия МОП   7900кВТ*2,73</t>
  </si>
  <si>
    <t>0,81*3216,3*12</t>
  </si>
  <si>
    <r>
      <t xml:space="preserve">5.Общеэксплуатационные расходы    </t>
    </r>
    <r>
      <rPr>
        <sz val="9"/>
        <rFont val="Arial Cyr"/>
        <family val="0"/>
      </rPr>
      <t>1,63*3216,3*12</t>
    </r>
  </si>
  <si>
    <r>
      <t xml:space="preserve">6.Управленческие расходы                              </t>
    </r>
    <r>
      <rPr>
        <sz val="9"/>
        <rFont val="Arial Cyr"/>
        <family val="0"/>
      </rPr>
      <t>1,63*2715,6*12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</si>
</sst>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"/>
  </numFmts>
  <fonts count="50">
    <font>
      <sz val="10"/>
      <name val="Arial Cyr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0"/>
    </font>
    <font>
      <sz val="8"/>
      <name val="Arial Cyr"/>
      <family val="0"/>
    </font>
    <font>
      <b/>
      <sz val="10"/>
      <name val="Arial"/>
      <family val="0"/>
    </font>
    <font>
      <sz val="12"/>
      <name val="Arial Cyr"/>
      <family val="0"/>
    </font>
    <font>
      <b/>
      <i/>
      <sz val="10"/>
      <name val="Arial Cyr"/>
      <family val="2"/>
    </font>
    <font>
      <b/>
      <i/>
      <sz val="12"/>
      <name val="Arial"/>
      <family val="2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52">
      <alignment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2" fontId="0" fillId="0" borderId="10" xfId="52" applyNumberFormat="1" applyFont="1" applyBorder="1" applyAlignment="1">
      <alignment horizontal="right"/>
      <protection/>
    </xf>
    <xf numFmtId="2" fontId="0" fillId="0" borderId="10" xfId="52" applyNumberFormat="1" applyFont="1" applyBorder="1" applyAlignment="1">
      <alignment horizontal="right"/>
      <protection/>
    </xf>
    <xf numFmtId="0" fontId="1" fillId="0" borderId="10" xfId="52" applyBorder="1">
      <alignment/>
      <protection/>
    </xf>
    <xf numFmtId="0" fontId="7" fillId="0" borderId="11" xfId="52" applyFont="1" applyBorder="1" applyAlignment="1">
      <alignment horizontal="left"/>
      <protection/>
    </xf>
    <xf numFmtId="2" fontId="8" fillId="0" borderId="12" xfId="52" applyNumberFormat="1" applyFont="1" applyBorder="1" applyAlignment="1">
      <alignment horizontal="right"/>
      <protection/>
    </xf>
    <xf numFmtId="0" fontId="1" fillId="0" borderId="10" xfId="52" applyFont="1" applyBorder="1">
      <alignment/>
      <protection/>
    </xf>
    <xf numFmtId="0" fontId="7" fillId="0" borderId="0" xfId="52" applyFont="1" applyBorder="1" applyAlignment="1">
      <alignment horizontal="left"/>
      <protection/>
    </xf>
    <xf numFmtId="0" fontId="0" fillId="0" borderId="0" xfId="52" applyFont="1" applyBorder="1" applyAlignment="1">
      <alignment horizontal="center"/>
      <protection/>
    </xf>
    <xf numFmtId="2" fontId="8" fillId="0" borderId="0" xfId="52" applyNumberFormat="1" applyFont="1" applyBorder="1" applyAlignment="1">
      <alignment horizontal="right"/>
      <protection/>
    </xf>
    <xf numFmtId="168" fontId="8" fillId="0" borderId="0" xfId="52" applyNumberFormat="1" applyFont="1" applyBorder="1" applyAlignment="1">
      <alignment horizontal="right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 horizontal="center" wrapText="1"/>
      <protection/>
    </xf>
    <xf numFmtId="0" fontId="1" fillId="0" borderId="0" xfId="52" applyFont="1" applyBorder="1" applyAlignment="1">
      <alignment/>
      <protection/>
    </xf>
    <xf numFmtId="0" fontId="1" fillId="0" borderId="10" xfId="52" applyFont="1" applyBorder="1">
      <alignment/>
      <protection/>
    </xf>
    <xf numFmtId="2" fontId="8" fillId="0" borderId="12" xfId="52" applyNumberFormat="1" applyFont="1" applyBorder="1" applyAlignment="1">
      <alignment horizontal="right"/>
      <protection/>
    </xf>
    <xf numFmtId="2" fontId="8" fillId="0" borderId="12" xfId="52" applyNumberFormat="1" applyFont="1" applyBorder="1" applyAlignment="1">
      <alignment horizontal="right" wrapText="1"/>
      <protection/>
    </xf>
    <xf numFmtId="0" fontId="0" fillId="0" borderId="12" xfId="0" applyBorder="1" applyAlignment="1">
      <alignment wrapText="1"/>
    </xf>
    <xf numFmtId="0" fontId="1" fillId="0" borderId="0" xfId="52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2" fontId="7" fillId="0" borderId="13" xfId="52" applyNumberFormat="1" applyFont="1" applyBorder="1" applyAlignment="1">
      <alignment vertical="top"/>
      <protection/>
    </xf>
    <xf numFmtId="0" fontId="4" fillId="0" borderId="0" xfId="52" applyFont="1" applyBorder="1" applyAlignment="1">
      <alignment horizontal="center" vertical="center" wrapText="1"/>
      <protection/>
    </xf>
    <xf numFmtId="2" fontId="0" fillId="0" borderId="12" xfId="52" applyNumberFormat="1" applyFont="1" applyBorder="1" applyAlignment="1">
      <alignment horizontal="right"/>
      <protection/>
    </xf>
    <xf numFmtId="2" fontId="0" fillId="0" borderId="12" xfId="52" applyNumberFormat="1" applyFont="1" applyBorder="1" applyAlignment="1">
      <alignment horizontal="right"/>
      <protection/>
    </xf>
    <xf numFmtId="0" fontId="6" fillId="0" borderId="11" xfId="52" applyFont="1" applyBorder="1" applyAlignment="1">
      <alignment wrapText="1"/>
      <protection/>
    </xf>
    <xf numFmtId="0" fontId="6" fillId="0" borderId="14" xfId="52" applyFont="1" applyBorder="1" applyAlignment="1">
      <alignment wrapText="1"/>
      <protection/>
    </xf>
    <xf numFmtId="0" fontId="0" fillId="0" borderId="15" xfId="0" applyBorder="1" applyAlignment="1">
      <alignment wrapText="1"/>
    </xf>
    <xf numFmtId="0" fontId="7" fillId="0" borderId="16" xfId="52" applyFont="1" applyBorder="1" applyAlignment="1">
      <alignment/>
      <protection/>
    </xf>
    <xf numFmtId="0" fontId="7" fillId="0" borderId="16" xfId="52" applyFont="1" applyBorder="1" applyAlignment="1">
      <alignment vertical="top"/>
      <protection/>
    </xf>
    <xf numFmtId="0" fontId="0" fillId="0" borderId="17" xfId="0" applyBorder="1" applyAlignment="1">
      <alignment/>
    </xf>
    <xf numFmtId="0" fontId="0" fillId="0" borderId="17" xfId="52" applyFont="1" applyBorder="1">
      <alignment/>
      <protection/>
    </xf>
    <xf numFmtId="0" fontId="8" fillId="0" borderId="15" xfId="52" applyFont="1" applyBorder="1">
      <alignment/>
      <protection/>
    </xf>
    <xf numFmtId="0" fontId="9" fillId="0" borderId="16" xfId="52" applyFont="1" applyBorder="1" applyAlignment="1">
      <alignment/>
      <protection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4" xfId="52" applyFont="1" applyBorder="1" applyAlignment="1">
      <alignment horizontal="center"/>
      <protection/>
    </xf>
    <xf numFmtId="2" fontId="8" fillId="0" borderId="14" xfId="52" applyNumberFormat="1" applyFont="1" applyBorder="1" applyAlignment="1">
      <alignment horizontal="right"/>
      <protection/>
    </xf>
    <xf numFmtId="0" fontId="7" fillId="0" borderId="18" xfId="52" applyFont="1" applyBorder="1" applyAlignment="1">
      <alignment vertical="top"/>
      <protection/>
    </xf>
    <xf numFmtId="0" fontId="7" fillId="0" borderId="0" xfId="52" applyFont="1" applyBorder="1" applyAlignment="1">
      <alignment vertical="top"/>
      <protection/>
    </xf>
    <xf numFmtId="0" fontId="7" fillId="0" borderId="13" xfId="52" applyFont="1" applyBorder="1" applyAlignment="1">
      <alignment vertical="top"/>
      <protection/>
    </xf>
    <xf numFmtId="0" fontId="0" fillId="0" borderId="19" xfId="0" applyBorder="1" applyAlignment="1">
      <alignment/>
    </xf>
    <xf numFmtId="2" fontId="0" fillId="0" borderId="19" xfId="52" applyNumberFormat="1" applyFont="1" applyBorder="1" applyAlignment="1">
      <alignment horizontal="right"/>
      <protection/>
    </xf>
    <xf numFmtId="0" fontId="0" fillId="0" borderId="14" xfId="0" applyBorder="1" applyAlignment="1">
      <alignment wrapText="1"/>
    </xf>
    <xf numFmtId="0" fontId="8" fillId="0" borderId="12" xfId="0" applyFont="1" applyBorder="1" applyAlignment="1">
      <alignment wrapText="1" shrinkToFit="1"/>
    </xf>
    <xf numFmtId="0" fontId="9" fillId="0" borderId="12" xfId="52" applyFont="1" applyBorder="1" applyAlignment="1">
      <alignment horizontal="center" vertical="center" wrapText="1"/>
      <protection/>
    </xf>
    <xf numFmtId="168" fontId="1" fillId="0" borderId="10" xfId="52" applyNumberFormat="1" applyBorder="1">
      <alignment/>
      <protection/>
    </xf>
    <xf numFmtId="0" fontId="1" fillId="0" borderId="14" xfId="52" applyFont="1" applyBorder="1">
      <alignment/>
      <protection/>
    </xf>
    <xf numFmtId="168" fontId="4" fillId="0" borderId="10" xfId="52" applyNumberFormat="1" applyFont="1" applyBorder="1">
      <alignment/>
      <protection/>
    </xf>
    <xf numFmtId="0" fontId="1" fillId="0" borderId="0" xfId="52" applyFont="1">
      <alignment/>
      <protection/>
    </xf>
    <xf numFmtId="0" fontId="7" fillId="0" borderId="11" xfId="52" applyFont="1" applyBorder="1" applyAlignment="1">
      <alignment/>
      <protection/>
    </xf>
    <xf numFmtId="0" fontId="0" fillId="0" borderId="14" xfId="0" applyBorder="1" applyAlignment="1">
      <alignment/>
    </xf>
    <xf numFmtId="0" fontId="12" fillId="0" borderId="0" xfId="0" applyFont="1" applyAlignment="1">
      <alignment/>
    </xf>
    <xf numFmtId="2" fontId="11" fillId="0" borderId="12" xfId="52" applyNumberFormat="1" applyFont="1" applyBorder="1">
      <alignment/>
      <protection/>
    </xf>
    <xf numFmtId="49" fontId="8" fillId="0" borderId="0" xfId="52" applyNumberFormat="1" applyFont="1" applyBorder="1" applyAlignment="1">
      <alignment horizontal="right"/>
      <protection/>
    </xf>
    <xf numFmtId="2" fontId="4" fillId="0" borderId="10" xfId="52" applyNumberFormat="1" applyFont="1" applyBorder="1" applyAlignment="1">
      <alignment wrapText="1"/>
      <protection/>
    </xf>
    <xf numFmtId="2" fontId="1" fillId="0" borderId="10" xfId="52" applyNumberFormat="1" applyBorder="1" applyAlignment="1">
      <alignment wrapText="1"/>
      <protection/>
    </xf>
    <xf numFmtId="2" fontId="0" fillId="0" borderId="0" xfId="0" applyNumberFormat="1" applyAlignment="1">
      <alignment wrapText="1"/>
    </xf>
    <xf numFmtId="2" fontId="1" fillId="0" borderId="0" xfId="52" applyNumberFormat="1" applyAlignment="1">
      <alignment wrapText="1"/>
      <protection/>
    </xf>
    <xf numFmtId="0" fontId="1" fillId="0" borderId="0" xfId="52" applyFont="1">
      <alignment/>
      <protection/>
    </xf>
    <xf numFmtId="2" fontId="11" fillId="0" borderId="0" xfId="52" applyNumberFormat="1" applyFont="1" applyBorder="1">
      <alignment/>
      <protection/>
    </xf>
    <xf numFmtId="0" fontId="5" fillId="0" borderId="0" xfId="52" applyFont="1" applyBorder="1" applyAlignment="1">
      <alignment/>
      <protection/>
    </xf>
    <xf numFmtId="10" fontId="8" fillId="0" borderId="0" xfId="52" applyNumberFormat="1" applyFont="1" applyBorder="1" applyAlignment="1">
      <alignment horizontal="left"/>
      <protection/>
    </xf>
    <xf numFmtId="0" fontId="1" fillId="0" borderId="0" xfId="52" applyFont="1" applyBorder="1">
      <alignment/>
      <protection/>
    </xf>
    <xf numFmtId="2" fontId="6" fillId="0" borderId="0" xfId="52" applyNumberFormat="1" applyFont="1" applyBorder="1" applyAlignment="1">
      <alignment wrapText="1"/>
      <protection/>
    </xf>
    <xf numFmtId="2" fontId="0" fillId="0" borderId="10" xfId="52" applyNumberFormat="1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52" applyFont="1">
      <alignment/>
      <protection/>
    </xf>
    <xf numFmtId="2" fontId="5" fillId="0" borderId="10" xfId="52" applyNumberFormat="1" applyFont="1" applyBorder="1" applyAlignment="1">
      <alignment wrapText="1"/>
      <protection/>
    </xf>
    <xf numFmtId="2" fontId="1" fillId="0" borderId="10" xfId="52" applyNumberFormat="1" applyFont="1" applyBorder="1" applyAlignment="1">
      <alignment wrapText="1"/>
      <protection/>
    </xf>
    <xf numFmtId="0" fontId="0" fillId="0" borderId="0" xfId="0" applyFont="1" applyBorder="1" applyAlignment="1">
      <alignment horizontal="center" vertical="center" wrapText="1"/>
    </xf>
    <xf numFmtId="0" fontId="8" fillId="0" borderId="12" xfId="52" applyFont="1" applyBorder="1" applyAlignment="1">
      <alignment horizontal="center" vertical="center" wrapText="1"/>
      <protection/>
    </xf>
    <xf numFmtId="0" fontId="13" fillId="0" borderId="18" xfId="52" applyFont="1" applyBorder="1" applyAlignment="1">
      <alignment vertical="top"/>
      <protection/>
    </xf>
    <xf numFmtId="0" fontId="13" fillId="0" borderId="0" xfId="52" applyFont="1" applyBorder="1" applyAlignment="1">
      <alignment vertical="top"/>
      <protection/>
    </xf>
    <xf numFmtId="0" fontId="13" fillId="0" borderId="13" xfId="52" applyFont="1" applyBorder="1" applyAlignment="1">
      <alignment vertical="top"/>
      <protection/>
    </xf>
    <xf numFmtId="2" fontId="13" fillId="0" borderId="13" xfId="52" applyNumberFormat="1" applyFont="1" applyBorder="1" applyAlignment="1">
      <alignment vertical="top"/>
      <protection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1" xfId="52" applyFont="1" applyBorder="1" applyAlignment="1">
      <alignment wrapText="1"/>
      <protection/>
    </xf>
    <xf numFmtId="0" fontId="0" fillId="0" borderId="14" xfId="52" applyFont="1" applyBorder="1" applyAlignment="1">
      <alignment wrapText="1"/>
      <protection/>
    </xf>
    <xf numFmtId="2" fontId="0" fillId="0" borderId="12" xfId="52" applyNumberFormat="1" applyFont="1" applyBorder="1" applyAlignment="1">
      <alignment horizontal="right"/>
      <protection/>
    </xf>
    <xf numFmtId="0" fontId="0" fillId="0" borderId="12" xfId="0" applyFont="1" applyBorder="1" applyAlignment="1">
      <alignment wrapText="1"/>
    </xf>
    <xf numFmtId="2" fontId="0" fillId="0" borderId="10" xfId="52" applyNumberFormat="1" applyFont="1" applyBorder="1" applyAlignment="1">
      <alignment horizontal="right"/>
      <protection/>
    </xf>
    <xf numFmtId="0" fontId="8" fillId="0" borderId="16" xfId="52" applyFont="1" applyBorder="1" applyAlignment="1">
      <alignment/>
      <protection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13" fillId="0" borderId="11" xfId="52" applyFont="1" applyBorder="1" applyAlignment="1">
      <alignment horizontal="left"/>
      <protection/>
    </xf>
    <xf numFmtId="0" fontId="13" fillId="0" borderId="0" xfId="52" applyFont="1" applyBorder="1" applyAlignment="1">
      <alignment horizontal="left"/>
      <protection/>
    </xf>
    <xf numFmtId="0" fontId="14" fillId="0" borderId="0" xfId="52" applyFont="1">
      <alignment/>
      <protection/>
    </xf>
    <xf numFmtId="0" fontId="6" fillId="0" borderId="15" xfId="0" applyFont="1" applyBorder="1" applyAlignment="1">
      <alignment wrapText="1"/>
    </xf>
    <xf numFmtId="2" fontId="8" fillId="0" borderId="15" xfId="52" applyNumberFormat="1" applyFont="1" applyBorder="1" applyAlignment="1">
      <alignment horizontal="right"/>
      <protection/>
    </xf>
    <xf numFmtId="0" fontId="6" fillId="0" borderId="17" xfId="52" applyFont="1" applyBorder="1" applyAlignment="1">
      <alignment vertical="top" wrapText="1"/>
      <protection/>
    </xf>
    <xf numFmtId="10" fontId="8" fillId="0" borderId="0" xfId="52" applyNumberFormat="1" applyFont="1" applyBorder="1" applyAlignment="1">
      <alignment horizontal="right"/>
      <protection/>
    </xf>
    <xf numFmtId="0" fontId="6" fillId="0" borderId="20" xfId="52" applyFont="1" applyBorder="1" applyAlignment="1">
      <alignment wrapText="1"/>
      <protection/>
    </xf>
    <xf numFmtId="0" fontId="6" fillId="0" borderId="21" xfId="52" applyFont="1" applyBorder="1" applyAlignment="1">
      <alignment wrapText="1"/>
      <protection/>
    </xf>
    <xf numFmtId="2" fontId="1" fillId="0" borderId="0" xfId="52" applyNumberFormat="1">
      <alignment/>
      <protection/>
    </xf>
    <xf numFmtId="0" fontId="0" fillId="0" borderId="0" xfId="0" applyFont="1" applyBorder="1" applyAlignment="1">
      <alignment horizontal="center" vertical="center" wrapText="1"/>
    </xf>
    <xf numFmtId="0" fontId="4" fillId="0" borderId="0" xfId="52" applyFont="1" applyBorder="1">
      <alignment/>
      <protection/>
    </xf>
    <xf numFmtId="0" fontId="4" fillId="0" borderId="20" xfId="52" applyFont="1" applyBorder="1">
      <alignment/>
      <protection/>
    </xf>
    <xf numFmtId="0" fontId="1" fillId="0" borderId="21" xfId="52" applyFont="1" applyBorder="1">
      <alignment/>
      <protection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169" fontId="11" fillId="0" borderId="12" xfId="52" applyNumberFormat="1" applyFont="1" applyBorder="1">
      <alignment/>
      <protection/>
    </xf>
    <xf numFmtId="0" fontId="11" fillId="0" borderId="17" xfId="52" applyFont="1" applyBorder="1" applyAlignment="1">
      <alignment horizontal="left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/>
      <protection/>
    </xf>
    <xf numFmtId="0" fontId="5" fillId="0" borderId="17" xfId="52" applyFont="1" applyBorder="1" applyAlignment="1">
      <alignment horizontal="left" wrapText="1"/>
      <protection/>
    </xf>
    <xf numFmtId="0" fontId="9" fillId="0" borderId="16" xfId="52" applyFont="1" applyBorder="1" applyAlignment="1">
      <alignment horizontal="left" wrapText="1"/>
      <protection/>
    </xf>
    <xf numFmtId="0" fontId="9" fillId="0" borderId="17" xfId="52" applyFont="1" applyBorder="1" applyAlignment="1">
      <alignment horizontal="left" wrapText="1"/>
      <protection/>
    </xf>
    <xf numFmtId="0" fontId="11" fillId="0" borderId="16" xfId="52" applyFont="1" applyBorder="1" applyAlignment="1">
      <alignment horizontal="left" wrapText="1"/>
      <protection/>
    </xf>
    <xf numFmtId="0" fontId="11" fillId="0" borderId="17" xfId="52" applyFont="1" applyBorder="1" applyAlignment="1">
      <alignment horizontal="left" wrapText="1"/>
      <protection/>
    </xf>
    <xf numFmtId="0" fontId="6" fillId="0" borderId="11" xfId="52" applyFont="1" applyBorder="1" applyAlignment="1">
      <alignment wrapText="1"/>
      <protection/>
    </xf>
    <xf numFmtId="0" fontId="6" fillId="0" borderId="14" xfId="52" applyFont="1" applyBorder="1" applyAlignment="1">
      <alignment wrapText="1"/>
      <protection/>
    </xf>
    <xf numFmtId="0" fontId="7" fillId="0" borderId="16" xfId="52" applyFont="1" applyBorder="1" applyAlignment="1">
      <alignment horizontal="left" wrapText="1"/>
      <protection/>
    </xf>
    <xf numFmtId="0" fontId="7" fillId="0" borderId="17" xfId="52" applyFont="1" applyBorder="1" applyAlignment="1">
      <alignment horizontal="left" wrapText="1"/>
      <protection/>
    </xf>
    <xf numFmtId="0" fontId="0" fillId="0" borderId="17" xfId="0" applyBorder="1" applyAlignment="1">
      <alignment wrapText="1"/>
    </xf>
    <xf numFmtId="0" fontId="5" fillId="0" borderId="11" xfId="52" applyFont="1" applyBorder="1" applyAlignment="1">
      <alignment horizontal="left" wrapText="1"/>
      <protection/>
    </xf>
    <xf numFmtId="0" fontId="15" fillId="0" borderId="14" xfId="0" applyFont="1" applyBorder="1" applyAlignment="1">
      <alignment horizontal="left" wrapText="1"/>
    </xf>
    <xf numFmtId="0" fontId="7" fillId="0" borderId="11" xfId="52" applyFont="1" applyBorder="1" applyAlignment="1">
      <alignment wrapText="1"/>
      <protection/>
    </xf>
    <xf numFmtId="0" fontId="7" fillId="0" borderId="14" xfId="52" applyFont="1" applyBorder="1" applyAlignment="1">
      <alignment wrapText="1"/>
      <protection/>
    </xf>
    <xf numFmtId="0" fontId="6" fillId="0" borderId="20" xfId="52" applyFont="1" applyBorder="1" applyAlignment="1">
      <alignment wrapText="1"/>
      <protection/>
    </xf>
    <xf numFmtId="0" fontId="6" fillId="0" borderId="21" xfId="52" applyFont="1" applyBorder="1" applyAlignment="1">
      <alignment wrapText="1"/>
      <protection/>
    </xf>
    <xf numFmtId="0" fontId="0" fillId="0" borderId="12" xfId="0" applyBorder="1" applyAlignment="1">
      <alignment wrapText="1"/>
    </xf>
    <xf numFmtId="0" fontId="2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11" xfId="52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1" xfId="52" applyFont="1" applyBorder="1" applyAlignment="1">
      <alignment horizontal="center" vertical="center" wrapText="1" shrinkToFit="1"/>
      <protection/>
    </xf>
    <xf numFmtId="0" fontId="9" fillId="0" borderId="14" xfId="52" applyFont="1" applyBorder="1" applyAlignment="1">
      <alignment horizontal="center" vertical="center" wrapText="1" shrinkToFit="1"/>
      <protection/>
    </xf>
    <xf numFmtId="0" fontId="6" fillId="0" borderId="11" xfId="52" applyFont="1" applyBorder="1" applyAlignment="1">
      <alignment vertical="top" wrapText="1"/>
      <protection/>
    </xf>
    <xf numFmtId="0" fontId="6" fillId="0" borderId="14" xfId="52" applyFont="1" applyBorder="1" applyAlignment="1">
      <alignment vertical="top" wrapText="1"/>
      <protection/>
    </xf>
    <xf numFmtId="0" fontId="7" fillId="0" borderId="16" xfId="52" applyFont="1" applyBorder="1" applyAlignment="1">
      <alignment vertical="top" wrapText="1"/>
      <protection/>
    </xf>
    <xf numFmtId="0" fontId="7" fillId="0" borderId="17" xfId="52" applyFont="1" applyBorder="1" applyAlignment="1">
      <alignment vertical="top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0" fontId="1" fillId="0" borderId="22" xfId="52" applyFont="1" applyBorder="1" applyAlignment="1">
      <alignment horizontal="center" vertical="center" wrapText="1"/>
      <protection/>
    </xf>
    <xf numFmtId="0" fontId="1" fillId="0" borderId="23" xfId="52" applyFont="1" applyBorder="1" applyAlignment="1">
      <alignment horizontal="center" vertical="center" wrapText="1"/>
      <protection/>
    </xf>
    <xf numFmtId="2" fontId="8" fillId="0" borderId="0" xfId="52" applyNumberFormat="1" applyFont="1" applyBorder="1" applyAlignment="1">
      <alignment horizontal="right" wrapText="1"/>
      <protection/>
    </xf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0" fontId="3" fillId="0" borderId="0" xfId="52" applyFont="1" applyAlignment="1">
      <alignment horizontal="center" wrapText="1"/>
      <protection/>
    </xf>
    <xf numFmtId="0" fontId="12" fillId="0" borderId="0" xfId="0" applyFont="1" applyAlignment="1">
      <alignment horizontal="center" wrapText="1"/>
    </xf>
    <xf numFmtId="0" fontId="5" fillId="0" borderId="11" xfId="52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22" xfId="52" applyFont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 shrinkToFit="1"/>
      <protection/>
    </xf>
    <xf numFmtId="0" fontId="8" fillId="0" borderId="14" xfId="52" applyFont="1" applyBorder="1" applyAlignment="1">
      <alignment horizontal="center" vertical="center" wrapText="1" shrinkToFit="1"/>
      <protection/>
    </xf>
    <xf numFmtId="0" fontId="0" fillId="0" borderId="11" xfId="52" applyFont="1" applyBorder="1" applyAlignment="1">
      <alignment vertical="top" wrapText="1"/>
      <protection/>
    </xf>
    <xf numFmtId="0" fontId="0" fillId="0" borderId="14" xfId="52" applyFont="1" applyBorder="1" applyAlignment="1">
      <alignment vertical="top" wrapText="1"/>
      <protection/>
    </xf>
    <xf numFmtId="0" fontId="0" fillId="0" borderId="20" xfId="52" applyFont="1" applyBorder="1" applyAlignment="1">
      <alignment wrapText="1"/>
      <protection/>
    </xf>
    <xf numFmtId="0" fontId="0" fillId="0" borderId="21" xfId="52" applyFont="1" applyBorder="1" applyAlignment="1">
      <alignment wrapText="1"/>
      <protection/>
    </xf>
    <xf numFmtId="0" fontId="13" fillId="0" borderId="11" xfId="52" applyFont="1" applyBorder="1" applyAlignment="1">
      <alignment wrapText="1"/>
      <protection/>
    </xf>
    <xf numFmtId="0" fontId="13" fillId="0" borderId="14" xfId="52" applyFont="1" applyBorder="1" applyAlignment="1">
      <alignment wrapText="1"/>
      <protection/>
    </xf>
    <xf numFmtId="0" fontId="0" fillId="0" borderId="11" xfId="52" applyFont="1" applyBorder="1" applyAlignment="1">
      <alignment wrapText="1"/>
      <protection/>
    </xf>
    <xf numFmtId="0" fontId="0" fillId="0" borderId="14" xfId="52" applyFont="1" applyBorder="1" applyAlignment="1">
      <alignment wrapText="1"/>
      <protection/>
    </xf>
    <xf numFmtId="2" fontId="0" fillId="0" borderId="11" xfId="52" applyNumberFormat="1" applyFont="1" applyBorder="1" applyAlignment="1">
      <alignment wrapText="1"/>
      <protection/>
    </xf>
    <xf numFmtId="2" fontId="0" fillId="0" borderId="14" xfId="52" applyNumberFormat="1" applyFont="1" applyBorder="1" applyAlignment="1">
      <alignment wrapText="1"/>
      <protection/>
    </xf>
    <xf numFmtId="2" fontId="0" fillId="0" borderId="12" xfId="0" applyNumberFormat="1" applyBorder="1" applyAlignment="1">
      <alignment wrapText="1"/>
    </xf>
    <xf numFmtId="0" fontId="8" fillId="0" borderId="16" xfId="52" applyFont="1" applyBorder="1" applyAlignment="1">
      <alignment horizontal="left" wrapText="1"/>
      <protection/>
    </xf>
    <xf numFmtId="0" fontId="8" fillId="0" borderId="17" xfId="52" applyFont="1" applyBorder="1" applyAlignment="1">
      <alignment horizontal="left" wrapText="1"/>
      <protection/>
    </xf>
    <xf numFmtId="0" fontId="7" fillId="0" borderId="16" xfId="52" applyFont="1" applyBorder="1" applyAlignment="1">
      <alignment vertical="top" wrapText="1"/>
      <protection/>
    </xf>
    <xf numFmtId="0" fontId="6" fillId="0" borderId="17" xfId="52" applyFont="1" applyBorder="1" applyAlignment="1">
      <alignment vertical="top" wrapText="1"/>
      <protection/>
    </xf>
    <xf numFmtId="0" fontId="0" fillId="0" borderId="11" xfId="52" applyFont="1" applyBorder="1" applyAlignment="1">
      <alignment vertical="top" wrapText="1"/>
      <protection/>
    </xf>
    <xf numFmtId="0" fontId="0" fillId="0" borderId="14" xfId="52" applyFont="1" applyBorder="1" applyAlignment="1">
      <alignment vertical="top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1" xfId="52" applyFont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5" fillId="0" borderId="16" xfId="52" applyFont="1" applyBorder="1" applyAlignment="1">
      <alignment horizontal="left" wrapText="1"/>
      <protection/>
    </xf>
    <xf numFmtId="0" fontId="5" fillId="0" borderId="17" xfId="52" applyFont="1" applyBorder="1" applyAlignment="1">
      <alignment horizontal="left" wrapText="1"/>
      <protection/>
    </xf>
    <xf numFmtId="0" fontId="7" fillId="0" borderId="16" xfId="52" applyFont="1" applyBorder="1" applyAlignment="1">
      <alignment horizontal="left" wrapText="1"/>
      <protection/>
    </xf>
    <xf numFmtId="0" fontId="7" fillId="0" borderId="17" xfId="52" applyFont="1" applyBorder="1" applyAlignment="1">
      <alignment horizontal="left" wrapText="1"/>
      <protection/>
    </xf>
    <xf numFmtId="0" fontId="11" fillId="0" borderId="11" xfId="52" applyFont="1" applyBorder="1" applyAlignment="1">
      <alignment horizontal="left" wrapText="1"/>
      <protection/>
    </xf>
    <xf numFmtId="0" fontId="0" fillId="0" borderId="14" xfId="0" applyBorder="1" applyAlignment="1">
      <alignment horizontal="left" wrapText="1"/>
    </xf>
    <xf numFmtId="0" fontId="4" fillId="0" borderId="24" xfId="52" applyFont="1" applyBorder="1" applyAlignment="1">
      <alignment horizontal="center" vertical="center" wrapText="1"/>
      <protection/>
    </xf>
    <xf numFmtId="0" fontId="1" fillId="0" borderId="24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wrapText="1"/>
      <protection/>
    </xf>
    <xf numFmtId="0" fontId="7" fillId="0" borderId="14" xfId="52" applyFont="1" applyBorder="1" applyAlignment="1">
      <alignment vertical="top" wrapText="1"/>
      <protection/>
    </xf>
    <xf numFmtId="0" fontId="9" fillId="0" borderId="11" xfId="52" applyFont="1" applyBorder="1" applyAlignment="1">
      <alignment horizontal="left" wrapText="1"/>
      <protection/>
    </xf>
    <xf numFmtId="0" fontId="9" fillId="0" borderId="14" xfId="52" applyFont="1" applyBorder="1" applyAlignment="1">
      <alignment horizontal="left" wrapText="1"/>
      <protection/>
    </xf>
    <xf numFmtId="0" fontId="7" fillId="0" borderId="11" xfId="52" applyFont="1" applyBorder="1" applyAlignment="1">
      <alignment horizontal="left" wrapText="1"/>
      <protection/>
    </xf>
    <xf numFmtId="0" fontId="7" fillId="0" borderId="14" xfId="52" applyFont="1" applyBorder="1" applyAlignment="1">
      <alignment horizontal="left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1"/>
  <sheetViews>
    <sheetView zoomScalePageLayoutView="0" workbookViewId="0" topLeftCell="A1">
      <selection activeCell="B41" sqref="B41"/>
    </sheetView>
  </sheetViews>
  <sheetFormatPr defaultColWidth="12.75390625" defaultRowHeight="12.75"/>
  <cols>
    <col min="1" max="1" width="16.75390625" style="0" customWidth="1"/>
    <col min="2" max="2" width="20.00390625" style="0" customWidth="1"/>
    <col min="3" max="3" width="15.875" style="0" customWidth="1"/>
    <col min="4" max="4" width="13.00390625" style="0" customWidth="1"/>
  </cols>
  <sheetData>
    <row r="3" spans="1:5" ht="22.5" customHeight="1">
      <c r="A3" s="134" t="s">
        <v>365</v>
      </c>
      <c r="B3" s="135"/>
      <c r="C3" s="135"/>
      <c r="D3" s="135"/>
      <c r="E3" s="135"/>
    </row>
    <row r="5" spans="6:14" ht="22.5" customHeight="1"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2" t="s">
        <v>237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>
      <c r="A7" s="3" t="s">
        <v>435</v>
      </c>
      <c r="B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136" t="s">
        <v>240</v>
      </c>
      <c r="B9" s="137"/>
      <c r="C9" s="137"/>
      <c r="D9" s="137"/>
      <c r="E9" s="138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8" t="s">
        <v>241</v>
      </c>
      <c r="B10" s="18" t="s">
        <v>242</v>
      </c>
      <c r="C10" s="18" t="s">
        <v>243</v>
      </c>
      <c r="D10" s="18" t="s">
        <v>244</v>
      </c>
      <c r="E10" s="18" t="s">
        <v>239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4.25">
      <c r="A11" s="51">
        <v>310.2</v>
      </c>
      <c r="B11" s="7"/>
      <c r="C11" s="7"/>
      <c r="D11" s="7"/>
      <c r="E11" s="7"/>
      <c r="F11" s="1"/>
      <c r="G11" s="1"/>
      <c r="H11" s="1"/>
      <c r="I11" s="1"/>
      <c r="J11" s="1"/>
      <c r="K11" s="1"/>
      <c r="L11" s="1"/>
      <c r="M11" s="1"/>
      <c r="N11" s="1"/>
    </row>
    <row r="12" spans="1:14" ht="14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69"/>
      <c r="B13" s="66"/>
      <c r="C13" s="6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7" customHeight="1">
      <c r="A15" s="139" t="s">
        <v>234</v>
      </c>
      <c r="B15" s="140"/>
      <c r="C15" s="140"/>
      <c r="D15" s="47"/>
      <c r="E15" s="48" t="s">
        <v>238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2.75" customHeight="1">
      <c r="A16" s="41" t="s">
        <v>235</v>
      </c>
      <c r="B16" s="42"/>
      <c r="C16" s="42"/>
      <c r="D16" s="43"/>
      <c r="E16" s="24">
        <f>E18+E19+E20+E21</f>
        <v>1199.2788000000003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2.75" customHeight="1">
      <c r="A17" s="141" t="s">
        <v>436</v>
      </c>
      <c r="B17" s="142"/>
      <c r="C17" s="142"/>
      <c r="D17" s="46"/>
      <c r="E17" s="2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 customHeight="1">
      <c r="A18" s="131" t="s">
        <v>448</v>
      </c>
      <c r="B18" s="132"/>
      <c r="C18" s="132"/>
      <c r="D18" s="44"/>
      <c r="E18" s="45">
        <f>0.006*5800*1.75*1.203*12</f>
        <v>879.1524000000002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22" t="s">
        <v>552</v>
      </c>
      <c r="B19" s="123"/>
      <c r="C19" s="123"/>
      <c r="D19" s="21"/>
      <c r="E19" s="26">
        <f>0.012*A11*12</f>
        <v>44.6688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22" t="s">
        <v>449</v>
      </c>
      <c r="B20" s="123"/>
      <c r="C20" s="123"/>
      <c r="D20" s="21"/>
      <c r="E20" s="26">
        <f>0.014*A11*12</f>
        <v>52.11359999999999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22" t="s">
        <v>450</v>
      </c>
      <c r="B21" s="123"/>
      <c r="C21" s="123"/>
      <c r="D21" s="133"/>
      <c r="E21" s="27">
        <f>0.06*A11*12</f>
        <v>223.344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2.75" customHeight="1">
      <c r="A22" s="129" t="s">
        <v>236</v>
      </c>
      <c r="B22" s="130"/>
      <c r="C22" s="130"/>
      <c r="D22" s="21"/>
      <c r="E22" s="19">
        <f>E23+E24+E25+E26+E27+E28</f>
        <v>3257.0508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2.75" customHeight="1">
      <c r="A23" s="122" t="s">
        <v>451</v>
      </c>
      <c r="B23" s="123"/>
      <c r="C23" s="123"/>
      <c r="D23" s="21"/>
      <c r="E23" s="26">
        <f>10*1.5*101.01</f>
        <v>1515.15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122" t="s">
        <v>452</v>
      </c>
      <c r="B24" s="123"/>
      <c r="C24" s="123"/>
      <c r="D24" s="21"/>
      <c r="E24" s="26">
        <f>15*35.02</f>
        <v>525.3000000000001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2.75" customHeight="1">
      <c r="A25" s="122" t="s">
        <v>437</v>
      </c>
      <c r="B25" s="123"/>
      <c r="C25" s="123"/>
      <c r="D25" s="21"/>
      <c r="E25" s="26">
        <f>0.002*A11*12</f>
        <v>7.444799999999999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122" t="s">
        <v>438</v>
      </c>
      <c r="B26" s="123"/>
      <c r="C26" s="123"/>
      <c r="D26" s="21"/>
      <c r="E26" s="26">
        <f>0.29*A11*12</f>
        <v>1079.4959999999999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22" t="s">
        <v>439</v>
      </c>
      <c r="B27" s="123"/>
      <c r="C27" s="123"/>
      <c r="D27" s="21"/>
      <c r="E27" s="68">
        <f>6*5.44+(6*16.17)</f>
        <v>129.66000000000003</v>
      </c>
      <c r="F27" s="67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28" t="s">
        <v>249</v>
      </c>
      <c r="B28" s="29"/>
      <c r="C28" s="29"/>
      <c r="D28" s="21"/>
      <c r="E28" s="6"/>
      <c r="F28" s="1"/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124" t="s">
        <v>252</v>
      </c>
      <c r="B29" s="125"/>
      <c r="C29" s="125"/>
      <c r="D29" s="30"/>
      <c r="E29" s="9">
        <v>16950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31" t="s">
        <v>253</v>
      </c>
      <c r="B30" s="126" t="s">
        <v>553</v>
      </c>
      <c r="C30" s="126"/>
      <c r="D30" s="30"/>
      <c r="E30" s="19">
        <f>0.81*A11*12</f>
        <v>3015.1440000000002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32" t="s">
        <v>254</v>
      </c>
      <c r="B31" s="33"/>
      <c r="C31" s="34" t="s">
        <v>554</v>
      </c>
      <c r="D31" s="35"/>
      <c r="E31" s="19">
        <f>1.63*A11*12</f>
        <v>6067.512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36" t="s">
        <v>255</v>
      </c>
      <c r="B32" s="37"/>
      <c r="C32" s="37" t="s">
        <v>440</v>
      </c>
      <c r="D32" s="38"/>
      <c r="E32" s="19">
        <f>0.003*A11*12</f>
        <v>11.1672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12.75" customHeight="1">
      <c r="A33" s="118" t="s">
        <v>256</v>
      </c>
      <c r="B33" s="119"/>
      <c r="C33" s="119"/>
      <c r="D33" s="30"/>
      <c r="E33" s="9">
        <f>E32+E31+E30+E29+E22+E16</f>
        <v>30500.1528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12.75" customHeight="1">
      <c r="A34" s="120" t="s">
        <v>364</v>
      </c>
      <c r="B34" s="121"/>
      <c r="C34" s="121"/>
      <c r="D34" s="30"/>
      <c r="E34" s="20">
        <f>E33*0.06</f>
        <v>1830.0091679999998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2.75" customHeight="1">
      <c r="A35" s="127" t="s">
        <v>544</v>
      </c>
      <c r="B35" s="128"/>
      <c r="C35" s="114"/>
      <c r="D35" s="30"/>
      <c r="E35" s="20">
        <f>(E33+E34)*0.01</f>
        <v>323.30161968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18" t="s">
        <v>247</v>
      </c>
      <c r="B36" s="119"/>
      <c r="C36" s="119"/>
      <c r="D36" s="30"/>
      <c r="E36" s="9">
        <f>SUM(E33:E35)</f>
        <v>32653.463587680002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8" t="s">
        <v>248</v>
      </c>
      <c r="B37" s="39"/>
      <c r="C37" s="40"/>
      <c r="D37" s="9"/>
      <c r="E37" s="56">
        <f>E36/A11/12</f>
        <v>8.772153338620246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1"/>
      <c r="B38" s="12"/>
      <c r="C38" s="14"/>
      <c r="D38" s="14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5"/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7"/>
      <c r="B40" s="15"/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sheetProtection/>
  <mergeCells count="20">
    <mergeCell ref="A3:E3"/>
    <mergeCell ref="A9:E9"/>
    <mergeCell ref="A15:C15"/>
    <mergeCell ref="A17:C17"/>
    <mergeCell ref="A22:C22"/>
    <mergeCell ref="A23:C23"/>
    <mergeCell ref="A24:C24"/>
    <mergeCell ref="A25:C25"/>
    <mergeCell ref="A18:C18"/>
    <mergeCell ref="A19:C19"/>
    <mergeCell ref="A20:C20"/>
    <mergeCell ref="A21:D21"/>
    <mergeCell ref="A33:C33"/>
    <mergeCell ref="A34:C34"/>
    <mergeCell ref="A36:C36"/>
    <mergeCell ref="A26:C26"/>
    <mergeCell ref="A27:C27"/>
    <mergeCell ref="A29:C29"/>
    <mergeCell ref="B30:C30"/>
    <mergeCell ref="A35:B35"/>
  </mergeCells>
  <printOptions/>
  <pageMargins left="0.75" right="0.1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C44" sqref="C44"/>
    </sheetView>
  </sheetViews>
  <sheetFormatPr defaultColWidth="12.75390625" defaultRowHeight="12.75"/>
  <cols>
    <col min="1" max="1" width="16.75390625" style="0" customWidth="1"/>
    <col min="2" max="2" width="20.00390625" style="0" customWidth="1"/>
    <col min="3" max="4" width="16.625" style="0" customWidth="1"/>
  </cols>
  <sheetData>
    <row r="1" spans="3:5" ht="12.75">
      <c r="C1" s="70" t="s">
        <v>251</v>
      </c>
      <c r="D1" s="70"/>
      <c r="E1" s="70"/>
    </row>
    <row r="2" spans="3:5" ht="12.75">
      <c r="C2" s="70" t="s">
        <v>382</v>
      </c>
      <c r="D2" s="70"/>
      <c r="E2" s="70"/>
    </row>
    <row r="3" spans="1:5" ht="12.75">
      <c r="A3" s="70"/>
      <c r="B3" s="70"/>
      <c r="C3" s="70" t="s">
        <v>205</v>
      </c>
      <c r="D3" s="70"/>
      <c r="E3" s="70"/>
    </row>
    <row r="4" spans="1:5" ht="12.75">
      <c r="A4" s="70"/>
      <c r="B4" s="70"/>
      <c r="C4" s="70"/>
      <c r="D4" s="70"/>
      <c r="E4" s="70"/>
    </row>
    <row r="5" spans="1:5" ht="12.75">
      <c r="A5" s="70"/>
      <c r="B5" s="70"/>
      <c r="C5" s="70"/>
      <c r="D5" s="70"/>
      <c r="E5" s="70"/>
    </row>
    <row r="6" spans="1:15" ht="22.5" customHeight="1">
      <c r="A6" s="152" t="s">
        <v>365</v>
      </c>
      <c r="B6" s="153"/>
      <c r="C6" s="153"/>
      <c r="D6" s="153"/>
      <c r="E6" s="153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237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95" t="s">
        <v>494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36" t="s">
        <v>240</v>
      </c>
      <c r="B10" s="137"/>
      <c r="C10" s="137"/>
      <c r="D10" s="137"/>
      <c r="E10" s="138"/>
      <c r="F10" s="25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60" customFormat="1" ht="14.25">
      <c r="A12" s="58">
        <v>2561.7</v>
      </c>
      <c r="B12" s="59">
        <v>196.8</v>
      </c>
      <c r="C12" s="59">
        <v>1330</v>
      </c>
      <c r="D12" s="59"/>
      <c r="E12" s="59">
        <v>1658</v>
      </c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45" t="s">
        <v>245</v>
      </c>
      <c r="B14" s="10" t="s">
        <v>495</v>
      </c>
      <c r="C14" s="147" t="s">
        <v>496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46"/>
      <c r="B15" s="10" t="s">
        <v>497</v>
      </c>
      <c r="C15" s="148"/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9" t="s">
        <v>234</v>
      </c>
      <c r="B17" s="140"/>
      <c r="C17" s="140"/>
      <c r="D17" s="47"/>
      <c r="E17" s="48" t="s">
        <v>238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1" t="s">
        <v>235</v>
      </c>
      <c r="B18" s="42"/>
      <c r="C18" s="42"/>
      <c r="D18" s="43"/>
      <c r="E18" s="24">
        <f>E20+E21+E22+E23</f>
        <v>83860.6104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1" t="s">
        <v>246</v>
      </c>
      <c r="B19" s="142"/>
      <c r="C19" s="142"/>
      <c r="D19" s="46"/>
      <c r="E19" s="2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31" t="s">
        <v>500</v>
      </c>
      <c r="B20" s="132"/>
      <c r="C20" s="132"/>
      <c r="D20" s="44"/>
      <c r="E20" s="45">
        <f>0.485*5800*2*1.203*12</f>
        <v>81216.936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22" t="s">
        <v>564</v>
      </c>
      <c r="B21" s="123"/>
      <c r="C21" s="123"/>
      <c r="D21" s="21"/>
      <c r="E21" s="26">
        <f>0.012*A12*12</f>
        <v>368.8848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22" t="s">
        <v>502</v>
      </c>
      <c r="B22" s="123"/>
      <c r="C22" s="123"/>
      <c r="D22" s="21"/>
      <c r="E22" s="26">
        <f>0.014*A12*12</f>
        <v>430.3656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22" t="s">
        <v>565</v>
      </c>
      <c r="B23" s="123"/>
      <c r="C23" s="123"/>
      <c r="D23" s="133"/>
      <c r="E23" s="27">
        <f>0.06*A12*12</f>
        <v>1844.4239999999995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29" t="s">
        <v>236</v>
      </c>
      <c r="B24" s="130"/>
      <c r="C24" s="130"/>
      <c r="D24" s="21"/>
      <c r="E24" s="19">
        <f>E25+E26+E27+E28+E29+E30+E31</f>
        <v>53265.661799999994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22" t="s">
        <v>501</v>
      </c>
      <c r="B25" s="123"/>
      <c r="C25" s="123"/>
      <c r="D25" s="21"/>
      <c r="E25" s="26">
        <f>117*1.5*101.01</f>
        <v>17727.255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22" t="s">
        <v>566</v>
      </c>
      <c r="B26" s="123"/>
      <c r="C26" s="123"/>
      <c r="D26" s="21"/>
      <c r="E26" s="26">
        <f>117*1.5*35.02</f>
        <v>6146.01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22" t="s">
        <v>567</v>
      </c>
      <c r="B27" s="123"/>
      <c r="C27" s="123"/>
      <c r="D27" s="21"/>
      <c r="E27" s="27">
        <f>3300*2.73</f>
        <v>9009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22" t="s">
        <v>498</v>
      </c>
      <c r="B28" s="123"/>
      <c r="C28" s="123"/>
      <c r="D28" s="21"/>
      <c r="E28" s="26">
        <f>0.002*A12*12</f>
        <v>61.4808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22" t="s">
        <v>499</v>
      </c>
      <c r="B29" s="123"/>
      <c r="C29" s="123"/>
      <c r="D29" s="21"/>
      <c r="E29" s="26">
        <f>0.29*A12*12</f>
        <v>8914.715999999999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22" t="s">
        <v>568</v>
      </c>
      <c r="B30" s="123"/>
      <c r="C30" s="123"/>
      <c r="D30" s="21"/>
      <c r="E30" s="27">
        <f>60*5.44+60*16.17*4</f>
        <v>4207.2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8" t="s">
        <v>269</v>
      </c>
      <c r="B31" s="29" t="s">
        <v>331</v>
      </c>
      <c r="C31" s="29"/>
      <c r="D31" s="21"/>
      <c r="E31" s="6">
        <f>60*120</f>
        <v>7200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24" t="s">
        <v>252</v>
      </c>
      <c r="B32" s="125"/>
      <c r="C32" s="125"/>
      <c r="D32" s="30"/>
      <c r="E32" s="9">
        <v>89850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3" t="s">
        <v>265</v>
      </c>
      <c r="B33" s="54"/>
      <c r="C33" s="54" t="s">
        <v>569</v>
      </c>
      <c r="D33" s="30"/>
      <c r="E33" s="19">
        <f>0.81*A12*12</f>
        <v>24899.724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43" t="s">
        <v>396</v>
      </c>
      <c r="B34" s="144"/>
      <c r="C34" s="144"/>
      <c r="D34" s="30" t="s">
        <v>570</v>
      </c>
      <c r="E34" s="19">
        <f>1.63*A12*12</f>
        <v>50106.851999999984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6" t="s">
        <v>255</v>
      </c>
      <c r="B35" s="37"/>
      <c r="C35" s="37" t="s">
        <v>503</v>
      </c>
      <c r="D35" s="38"/>
      <c r="E35" s="9">
        <f>0.003*A12*12</f>
        <v>92.2212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18" t="s">
        <v>256</v>
      </c>
      <c r="B36" s="119"/>
      <c r="C36" s="119"/>
      <c r="D36" s="30"/>
      <c r="E36" s="9">
        <f>E35+E34+E33+E32+E24+E18</f>
        <v>302075.0694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20" t="s">
        <v>364</v>
      </c>
      <c r="B37" s="121"/>
      <c r="C37" s="121"/>
      <c r="D37" s="30"/>
      <c r="E37" s="20">
        <f>E36*0.06</f>
        <v>18124.504163999998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27" t="s">
        <v>544</v>
      </c>
      <c r="B38" s="128"/>
      <c r="C38" s="114"/>
      <c r="D38" s="30"/>
      <c r="E38" s="20">
        <f>(E36+E37)*0.01</f>
        <v>3201.9957356399996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18" t="s">
        <v>257</v>
      </c>
      <c r="B39" s="119"/>
      <c r="C39" s="119"/>
      <c r="D39" s="30"/>
      <c r="E39" s="9">
        <f>SUM(E36:E38)</f>
        <v>323401.56929963996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8" t="s">
        <v>248</v>
      </c>
      <c r="B40" s="39"/>
      <c r="C40" s="40"/>
      <c r="D40" s="9"/>
      <c r="E40" s="113">
        <f>E39/A12/12</f>
        <v>10.520408625120037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1"/>
      <c r="B41" s="12"/>
      <c r="C41" s="13"/>
      <c r="D41" s="13"/>
      <c r="E41" s="102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1"/>
      <c r="B42" s="12"/>
      <c r="C42" s="14"/>
      <c r="D42" s="1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5"/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5"/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237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sheetProtection/>
  <mergeCells count="23">
    <mergeCell ref="A38:B38"/>
    <mergeCell ref="A26:C26"/>
    <mergeCell ref="A27:C27"/>
    <mergeCell ref="A28:C28"/>
    <mergeCell ref="A29:C29"/>
    <mergeCell ref="A37:C37"/>
    <mergeCell ref="A39:C39"/>
    <mergeCell ref="A30:C30"/>
    <mergeCell ref="A32:C32"/>
    <mergeCell ref="A34:C34"/>
    <mergeCell ref="A36:C36"/>
    <mergeCell ref="A20:C20"/>
    <mergeCell ref="A21:C21"/>
    <mergeCell ref="A22:C22"/>
    <mergeCell ref="A23:D23"/>
    <mergeCell ref="A24:C24"/>
    <mergeCell ref="A25:C25"/>
    <mergeCell ref="A6:E6"/>
    <mergeCell ref="A10:E10"/>
    <mergeCell ref="A14:A15"/>
    <mergeCell ref="C14:C15"/>
    <mergeCell ref="A17:C17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15.625" style="0" customWidth="1"/>
    <col min="2" max="2" width="18.625" style="0" customWidth="1"/>
    <col min="3" max="3" width="18.25390625" style="0" customWidth="1"/>
    <col min="4" max="4" width="15.00390625" style="0" customWidth="1"/>
    <col min="5" max="5" width="14.87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205</v>
      </c>
      <c r="D3" s="55"/>
    </row>
    <row r="7" spans="1:5" ht="22.5" customHeight="1">
      <c r="A7" s="134" t="s">
        <v>365</v>
      </c>
      <c r="B7" s="135"/>
      <c r="C7" s="135"/>
      <c r="D7" s="135"/>
      <c r="E7" s="135"/>
    </row>
    <row r="8" spans="1:5" ht="15.75">
      <c r="A8" s="2" t="s">
        <v>237</v>
      </c>
      <c r="B8" s="2"/>
      <c r="C8" s="1"/>
      <c r="D8" s="1"/>
      <c r="E8" s="1"/>
    </row>
    <row r="9" spans="1:5" ht="15">
      <c r="A9" s="95" t="s">
        <v>390</v>
      </c>
      <c r="B9" s="1"/>
      <c r="C9" s="1"/>
      <c r="D9" s="1"/>
      <c r="E9" s="1"/>
    </row>
    <row r="10" spans="1:5" ht="14.25">
      <c r="A10" s="3"/>
      <c r="B10" s="1"/>
      <c r="C10" s="1"/>
      <c r="D10" s="1"/>
      <c r="E10" s="1"/>
    </row>
    <row r="11" spans="1:5" ht="12.75">
      <c r="A11" s="136" t="s">
        <v>240</v>
      </c>
      <c r="B11" s="137"/>
      <c r="C11" s="137"/>
      <c r="D11" s="137"/>
      <c r="E11" s="138"/>
    </row>
    <row r="12" spans="1:5" ht="12.75">
      <c r="A12" s="18" t="s">
        <v>241</v>
      </c>
      <c r="B12" s="18" t="s">
        <v>242</v>
      </c>
      <c r="C12" s="18" t="s">
        <v>243</v>
      </c>
      <c r="D12" s="18" t="s">
        <v>244</v>
      </c>
      <c r="E12" s="18" t="s">
        <v>239</v>
      </c>
    </row>
    <row r="13" spans="1:5" ht="14.25">
      <c r="A13" s="58">
        <v>2571.2</v>
      </c>
      <c r="B13" s="59">
        <v>193.2</v>
      </c>
      <c r="C13" s="59">
        <v>345</v>
      </c>
      <c r="D13" s="59"/>
      <c r="E13" s="59">
        <v>3870</v>
      </c>
    </row>
    <row r="14" spans="1:5" ht="14.25">
      <c r="A14" s="3"/>
      <c r="B14" s="1"/>
      <c r="C14" s="1"/>
      <c r="D14" s="1"/>
      <c r="E14" s="1"/>
    </row>
    <row r="15" spans="1:5" ht="12.75">
      <c r="A15" s="145" t="s">
        <v>245</v>
      </c>
      <c r="B15" s="10" t="s">
        <v>391</v>
      </c>
      <c r="C15" s="147" t="s">
        <v>392</v>
      </c>
      <c r="D15" s="22"/>
      <c r="E15" s="1"/>
    </row>
    <row r="16" spans="1:5" ht="12.75">
      <c r="A16" s="146"/>
      <c r="B16" s="10" t="s">
        <v>393</v>
      </c>
      <c r="C16" s="148"/>
      <c r="D16" s="23"/>
      <c r="E16" s="1"/>
    </row>
    <row r="17" spans="1:5" ht="12.75">
      <c r="A17" s="4"/>
      <c r="B17" s="1"/>
      <c r="C17" s="1"/>
      <c r="D17" s="1"/>
      <c r="E17" s="1"/>
    </row>
    <row r="18" spans="1:5" ht="12.75">
      <c r="A18" s="139" t="s">
        <v>234</v>
      </c>
      <c r="B18" s="140"/>
      <c r="C18" s="140"/>
      <c r="D18" s="47"/>
      <c r="E18" s="48" t="s">
        <v>238</v>
      </c>
    </row>
    <row r="19" spans="1:5" ht="12.75">
      <c r="A19" s="41" t="s">
        <v>235</v>
      </c>
      <c r="B19" s="42"/>
      <c r="C19" s="42"/>
      <c r="D19" s="43"/>
      <c r="E19" s="24">
        <f>E21+E22+E23+E24</f>
        <v>32887.892400000004</v>
      </c>
    </row>
    <row r="20" spans="1:5" ht="12.75">
      <c r="A20" s="141" t="s">
        <v>246</v>
      </c>
      <c r="B20" s="142"/>
      <c r="C20" s="142"/>
      <c r="D20" s="46"/>
      <c r="E20" s="21"/>
    </row>
    <row r="21" spans="1:5" ht="12.75">
      <c r="A21" s="131" t="s">
        <v>466</v>
      </c>
      <c r="B21" s="132"/>
      <c r="C21" s="132"/>
      <c r="D21" s="44"/>
      <c r="E21" s="45">
        <f>0.241*5800*1.75*1.03*12</f>
        <v>30234.414000000004</v>
      </c>
    </row>
    <row r="22" spans="1:5" ht="12.75">
      <c r="A22" s="122" t="s">
        <v>555</v>
      </c>
      <c r="B22" s="123"/>
      <c r="C22" s="123"/>
      <c r="D22" s="21"/>
      <c r="E22" s="26">
        <f>0.012*A13*12</f>
        <v>370.2528</v>
      </c>
    </row>
    <row r="23" spans="1:5" ht="12.75">
      <c r="A23" s="122" t="s">
        <v>556</v>
      </c>
      <c r="B23" s="123"/>
      <c r="C23" s="123"/>
      <c r="D23" s="21"/>
      <c r="E23" s="26">
        <f>0.014*A13*12</f>
        <v>431.9616</v>
      </c>
    </row>
    <row r="24" spans="1:5" ht="12.75">
      <c r="A24" s="122" t="s">
        <v>557</v>
      </c>
      <c r="B24" s="123"/>
      <c r="C24" s="123"/>
      <c r="D24" s="133"/>
      <c r="E24" s="27">
        <f>0.06*A13*12</f>
        <v>1851.264</v>
      </c>
    </row>
    <row r="25" spans="1:5" ht="12.75">
      <c r="A25" s="129" t="s">
        <v>236</v>
      </c>
      <c r="B25" s="130"/>
      <c r="C25" s="130"/>
      <c r="D25" s="21"/>
      <c r="E25" s="19">
        <f>E26+E27+E28+E29+E30+E31+E32</f>
        <v>66390.8248</v>
      </c>
    </row>
    <row r="26" spans="1:5" ht="12.75">
      <c r="A26" s="122" t="s">
        <v>398</v>
      </c>
      <c r="B26" s="123"/>
      <c r="C26" s="123"/>
      <c r="D26" s="21"/>
      <c r="E26" s="26">
        <f>148*1.5*101.01</f>
        <v>22424.22</v>
      </c>
    </row>
    <row r="27" spans="1:5" ht="12.75">
      <c r="A27" s="122" t="s">
        <v>399</v>
      </c>
      <c r="B27" s="123"/>
      <c r="C27" s="123"/>
      <c r="D27" s="21"/>
      <c r="E27" s="26">
        <f>148*1.5*35.02</f>
        <v>7774.4400000000005</v>
      </c>
    </row>
    <row r="28" spans="1:5" ht="12.75">
      <c r="A28" s="122" t="s">
        <v>400</v>
      </c>
      <c r="B28" s="123"/>
      <c r="C28" s="123"/>
      <c r="D28" s="21"/>
      <c r="E28" s="27">
        <f>5500*2.73</f>
        <v>15015</v>
      </c>
    </row>
    <row r="29" spans="1:5" ht="12.75">
      <c r="A29" s="122" t="s">
        <v>394</v>
      </c>
      <c r="B29" s="123"/>
      <c r="C29" s="123"/>
      <c r="D29" s="21"/>
      <c r="E29" s="26">
        <f>0.002*A13*12</f>
        <v>61.7088</v>
      </c>
    </row>
    <row r="30" spans="1:5" ht="12.75">
      <c r="A30" s="122" t="s">
        <v>395</v>
      </c>
      <c r="B30" s="123"/>
      <c r="C30" s="123"/>
      <c r="D30" s="21"/>
      <c r="E30" s="26">
        <f>0.29*A13*12</f>
        <v>8947.775999999998</v>
      </c>
    </row>
    <row r="31" spans="1:5" ht="12.75">
      <c r="A31" s="122" t="s">
        <v>401</v>
      </c>
      <c r="B31" s="123"/>
      <c r="C31" s="123"/>
      <c r="D31" s="21"/>
      <c r="E31" s="27">
        <f>64*5.44+64*16.17*4</f>
        <v>4487.68</v>
      </c>
    </row>
    <row r="32" spans="1:5" ht="12.75">
      <c r="A32" s="28" t="s">
        <v>269</v>
      </c>
      <c r="B32" s="29" t="s">
        <v>402</v>
      </c>
      <c r="C32" s="29"/>
      <c r="D32" s="21"/>
      <c r="E32" s="6">
        <f>64*120</f>
        <v>7680</v>
      </c>
    </row>
    <row r="33" spans="1:5" ht="12.75">
      <c r="A33" s="124" t="s">
        <v>252</v>
      </c>
      <c r="B33" s="125"/>
      <c r="C33" s="125"/>
      <c r="D33" s="30"/>
      <c r="E33" s="9">
        <v>128400</v>
      </c>
    </row>
    <row r="34" spans="1:5" ht="12.75">
      <c r="A34" s="53" t="s">
        <v>265</v>
      </c>
      <c r="B34" s="54"/>
      <c r="C34" s="54" t="s">
        <v>558</v>
      </c>
      <c r="D34" s="30"/>
      <c r="E34" s="19">
        <f>0.81*A13*12</f>
        <v>24992.064</v>
      </c>
    </row>
    <row r="35" spans="1:5" ht="12.75">
      <c r="A35" s="143" t="s">
        <v>396</v>
      </c>
      <c r="B35" s="144"/>
      <c r="C35" s="144"/>
      <c r="D35" s="30" t="s">
        <v>559</v>
      </c>
      <c r="E35" s="19">
        <f>1.63*A13*12</f>
        <v>50292.67199999999</v>
      </c>
    </row>
    <row r="36" spans="1:5" ht="12.75">
      <c r="A36" s="36" t="s">
        <v>255</v>
      </c>
      <c r="B36" s="37"/>
      <c r="C36" s="37" t="s">
        <v>397</v>
      </c>
      <c r="D36" s="38"/>
      <c r="E36" s="9">
        <f>0.003*A13*12</f>
        <v>92.5632</v>
      </c>
    </row>
    <row r="37" spans="1:5" ht="12.75">
      <c r="A37" s="118" t="s">
        <v>256</v>
      </c>
      <c r="B37" s="119"/>
      <c r="C37" s="119"/>
      <c r="D37" s="30"/>
      <c r="E37" s="9">
        <f>E36+E35+E34+E33+E25+E19</f>
        <v>303056.01639999996</v>
      </c>
    </row>
    <row r="38" spans="1:5" ht="12.75">
      <c r="A38" s="120" t="s">
        <v>364</v>
      </c>
      <c r="B38" s="121"/>
      <c r="C38" s="121"/>
      <c r="D38" s="30"/>
      <c r="E38" s="20">
        <f>E37*0.06</f>
        <v>18183.360983999995</v>
      </c>
    </row>
    <row r="39" spans="1:5" ht="12.75">
      <c r="A39" s="127" t="s">
        <v>544</v>
      </c>
      <c r="B39" s="128"/>
      <c r="C39" s="114"/>
      <c r="D39" s="30"/>
      <c r="E39" s="20">
        <f>(E37+E38)*0.01</f>
        <v>3212.3937738399995</v>
      </c>
    </row>
    <row r="40" spans="1:5" ht="12.75">
      <c r="A40" s="118" t="s">
        <v>257</v>
      </c>
      <c r="B40" s="119"/>
      <c r="C40" s="119"/>
      <c r="D40" s="30"/>
      <c r="E40" s="9">
        <f>SUM(E37:E39)</f>
        <v>324451.7711578399</v>
      </c>
    </row>
    <row r="41" spans="1:5" ht="12.75">
      <c r="A41" s="8" t="s">
        <v>248</v>
      </c>
      <c r="B41" s="39"/>
      <c r="C41" s="40"/>
      <c r="D41" s="9"/>
      <c r="E41" s="56">
        <f>E40/A13/12</f>
        <v>10.515575449784793</v>
      </c>
    </row>
    <row r="42" spans="1:5" ht="12.75">
      <c r="A42" s="11"/>
      <c r="B42" s="12"/>
      <c r="C42" s="13"/>
      <c r="D42" s="13"/>
      <c r="E42" s="102"/>
    </row>
  </sheetData>
  <sheetProtection/>
  <mergeCells count="23">
    <mergeCell ref="A35:C35"/>
    <mergeCell ref="A37:C37"/>
    <mergeCell ref="A38:C38"/>
    <mergeCell ref="A40:C40"/>
    <mergeCell ref="A39:B39"/>
    <mergeCell ref="A31:C31"/>
    <mergeCell ref="A33:C33"/>
    <mergeCell ref="A27:C27"/>
    <mergeCell ref="A28:C28"/>
    <mergeCell ref="A29:C29"/>
    <mergeCell ref="A30:C30"/>
    <mergeCell ref="A21:C21"/>
    <mergeCell ref="A22:C22"/>
    <mergeCell ref="A23:C23"/>
    <mergeCell ref="A24:D24"/>
    <mergeCell ref="A25:C25"/>
    <mergeCell ref="A26:C26"/>
    <mergeCell ref="A7:E7"/>
    <mergeCell ref="A11:E11"/>
    <mergeCell ref="A15:A16"/>
    <mergeCell ref="C15:C16"/>
    <mergeCell ref="A18:C18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E41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18.00390625" style="71" customWidth="1"/>
    <col min="2" max="2" width="18.375" style="71" customWidth="1"/>
    <col min="3" max="3" width="16.00390625" style="71" customWidth="1"/>
    <col min="4" max="4" width="15.125" style="71" customWidth="1"/>
    <col min="5" max="5" width="13.625" style="71" customWidth="1"/>
    <col min="6" max="16384" width="9.125" style="71" customWidth="1"/>
  </cols>
  <sheetData>
    <row r="1" s="70" customFormat="1" ht="12.75"/>
    <row r="2" s="70" customFormat="1" ht="12.75"/>
    <row r="3" s="70" customFormat="1" ht="12.75"/>
    <row r="4" s="70" customFormat="1" ht="12.75"/>
    <row r="5" s="70" customFormat="1" ht="12.75"/>
    <row r="6" spans="1:5" ht="15.75">
      <c r="A6" s="152" t="s">
        <v>365</v>
      </c>
      <c r="B6" s="153"/>
      <c r="C6" s="153"/>
      <c r="D6" s="153"/>
      <c r="E6" s="153"/>
    </row>
    <row r="7" spans="1:5" ht="12.75">
      <c r="A7" s="72" t="s">
        <v>237</v>
      </c>
      <c r="B7" s="72"/>
      <c r="C7" s="52"/>
      <c r="D7" s="52"/>
      <c r="E7" s="52"/>
    </row>
    <row r="8" spans="1:5" ht="15">
      <c r="A8" s="95" t="s">
        <v>282</v>
      </c>
      <c r="B8" s="52"/>
      <c r="C8" s="52"/>
      <c r="D8" s="52"/>
      <c r="E8" s="52"/>
    </row>
    <row r="9" spans="1:5" ht="15">
      <c r="A9" s="95"/>
      <c r="B9" s="52"/>
      <c r="C9" s="52"/>
      <c r="D9" s="52"/>
      <c r="E9" s="52"/>
    </row>
    <row r="10" spans="1:5" ht="12.75">
      <c r="A10" s="154" t="s">
        <v>240</v>
      </c>
      <c r="B10" s="178"/>
      <c r="C10" s="178"/>
      <c r="D10" s="178"/>
      <c r="E10" s="179"/>
    </row>
    <row r="11" spans="1: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</row>
    <row r="12" spans="1:5" ht="17.25" customHeight="1">
      <c r="A12" s="73">
        <v>3174.4</v>
      </c>
      <c r="B12" s="74">
        <v>296</v>
      </c>
      <c r="C12" s="74">
        <v>1079.6</v>
      </c>
      <c r="D12" s="74"/>
      <c r="E12" s="74">
        <v>3603.4</v>
      </c>
    </row>
    <row r="13" spans="1:5" ht="12.75">
      <c r="A13" s="4"/>
      <c r="B13" s="52"/>
      <c r="C13" s="52"/>
      <c r="D13" s="52"/>
      <c r="E13" s="52"/>
    </row>
    <row r="14" spans="1:5" ht="12.75">
      <c r="A14" s="157" t="s">
        <v>245</v>
      </c>
      <c r="B14" s="10" t="s">
        <v>279</v>
      </c>
      <c r="C14" s="147" t="s">
        <v>281</v>
      </c>
      <c r="D14" s="22"/>
      <c r="E14" s="52"/>
    </row>
    <row r="15" spans="1:5" ht="12.75">
      <c r="A15" s="158"/>
      <c r="B15" s="10" t="s">
        <v>280</v>
      </c>
      <c r="C15" s="148"/>
      <c r="D15" s="75"/>
      <c r="E15" s="52"/>
    </row>
    <row r="16" spans="1:5" ht="12.75">
      <c r="A16" s="4"/>
      <c r="B16" s="52"/>
      <c r="C16" s="52"/>
      <c r="D16" s="52"/>
      <c r="E16" s="52"/>
    </row>
    <row r="17" spans="1:5" ht="12.75">
      <c r="A17" s="159" t="s">
        <v>234</v>
      </c>
      <c r="B17" s="160"/>
      <c r="C17" s="160"/>
      <c r="D17" s="47"/>
      <c r="E17" s="76" t="s">
        <v>238</v>
      </c>
    </row>
    <row r="18" spans="1:5" ht="12.75">
      <c r="A18" s="77" t="s">
        <v>235</v>
      </c>
      <c r="B18" s="78"/>
      <c r="C18" s="78"/>
      <c r="D18" s="79"/>
      <c r="E18" s="80">
        <f>E20+E21+E22+E23</f>
        <v>72142.91879999998</v>
      </c>
    </row>
    <row r="19" spans="1:5" ht="12.75">
      <c r="A19" s="176" t="s">
        <v>246</v>
      </c>
      <c r="B19" s="177"/>
      <c r="C19" s="177"/>
      <c r="D19" s="81"/>
      <c r="E19" s="82"/>
    </row>
    <row r="20" spans="1:5" ht="12.75">
      <c r="A20" s="163" t="s">
        <v>545</v>
      </c>
      <c r="B20" s="164"/>
      <c r="C20" s="164"/>
      <c r="D20" s="83"/>
      <c r="E20" s="45">
        <f>0.47*5800*1.75*1.203*12</f>
        <v>68866.938</v>
      </c>
    </row>
    <row r="21" spans="1:5" ht="12.75" customHeight="1">
      <c r="A21" s="122" t="s">
        <v>560</v>
      </c>
      <c r="B21" s="123"/>
      <c r="C21" s="123"/>
      <c r="D21" s="21"/>
      <c r="E21" s="26">
        <f>0.012*A12*12</f>
        <v>457.1136</v>
      </c>
    </row>
    <row r="22" spans="1:5" ht="12.75" customHeight="1">
      <c r="A22" s="122" t="s">
        <v>303</v>
      </c>
      <c r="B22" s="123"/>
      <c r="C22" s="123"/>
      <c r="D22" s="21"/>
      <c r="E22" s="26">
        <f>0.014*A12*12</f>
        <v>533.2992</v>
      </c>
    </row>
    <row r="23" spans="1:5" ht="12.75" customHeight="1">
      <c r="A23" s="122" t="s">
        <v>561</v>
      </c>
      <c r="B23" s="123"/>
      <c r="C23" s="123"/>
      <c r="D23" s="133"/>
      <c r="E23" s="86">
        <f>0.06*A12*12</f>
        <v>2285.568</v>
      </c>
    </row>
    <row r="24" spans="1:5" ht="12.75">
      <c r="A24" s="165" t="s">
        <v>236</v>
      </c>
      <c r="B24" s="166"/>
      <c r="C24" s="166"/>
      <c r="D24" s="87"/>
      <c r="E24" s="19">
        <f>E25+E26+E27+E28+E29+E30+E31</f>
        <v>92973.91799999999</v>
      </c>
    </row>
    <row r="25" spans="1:5" ht="12.75">
      <c r="A25" s="167" t="s">
        <v>546</v>
      </c>
      <c r="B25" s="168"/>
      <c r="C25" s="168"/>
      <c r="D25" s="82"/>
      <c r="E25" s="26">
        <f>150*1.5*101.01</f>
        <v>22727.25</v>
      </c>
    </row>
    <row r="26" spans="1:5" ht="12.75">
      <c r="A26" s="167" t="s">
        <v>304</v>
      </c>
      <c r="B26" s="168"/>
      <c r="C26" s="168"/>
      <c r="D26" s="82"/>
      <c r="E26" s="26">
        <f>150*1.5*35.02</f>
        <v>7879.500000000001</v>
      </c>
    </row>
    <row r="27" spans="1:5" ht="12.75">
      <c r="A27" s="167" t="s">
        <v>220</v>
      </c>
      <c r="B27" s="168"/>
      <c r="C27" s="168"/>
      <c r="D27" s="82"/>
      <c r="E27" s="86">
        <f>18400*2.73</f>
        <v>50232</v>
      </c>
    </row>
    <row r="28" spans="1:5" ht="12.75">
      <c r="A28" s="167" t="s">
        <v>221</v>
      </c>
      <c r="B28" s="168"/>
      <c r="C28" s="168"/>
      <c r="D28" s="82"/>
      <c r="E28" s="26">
        <f>0.02*A12*12</f>
        <v>761.8560000000001</v>
      </c>
    </row>
    <row r="29" spans="1:5" ht="12.75">
      <c r="A29" s="167" t="s">
        <v>277</v>
      </c>
      <c r="B29" s="168"/>
      <c r="C29" s="168"/>
      <c r="D29" s="82"/>
      <c r="E29" s="26">
        <f>0.29*A12*12</f>
        <v>11046.911999999998</v>
      </c>
    </row>
    <row r="30" spans="1:5" ht="12.75">
      <c r="A30" s="167" t="s">
        <v>222</v>
      </c>
      <c r="B30" s="168"/>
      <c r="C30" s="168"/>
      <c r="D30" s="82"/>
      <c r="E30" s="86">
        <f>60*5.44</f>
        <v>326.40000000000003</v>
      </c>
    </row>
    <row r="31" spans="1:5" ht="16.5" customHeight="1">
      <c r="A31" s="84" t="s">
        <v>269</v>
      </c>
      <c r="B31" s="85" t="s">
        <v>268</v>
      </c>
      <c r="C31" s="85"/>
      <c r="D31" s="82"/>
      <c r="E31" s="88"/>
    </row>
    <row r="32" spans="1:5" ht="12" customHeight="1">
      <c r="A32" s="124" t="s">
        <v>252</v>
      </c>
      <c r="B32" s="125"/>
      <c r="C32" s="125"/>
      <c r="D32" s="96"/>
      <c r="E32" s="97">
        <v>116070</v>
      </c>
    </row>
    <row r="33" spans="1:5" ht="12.75" customHeight="1">
      <c r="A33" s="31" t="s">
        <v>253</v>
      </c>
      <c r="B33" s="126" t="s">
        <v>562</v>
      </c>
      <c r="C33" s="126"/>
      <c r="D33" s="30"/>
      <c r="E33" s="9">
        <f>0.81*A12*12</f>
        <v>30855.168</v>
      </c>
    </row>
    <row r="34" spans="1:5" ht="12.75">
      <c r="A34" s="32" t="s">
        <v>254</v>
      </c>
      <c r="B34" s="33"/>
      <c r="C34" s="34" t="s">
        <v>563</v>
      </c>
      <c r="D34" s="35"/>
      <c r="E34" s="19">
        <f>1.63*A12*12</f>
        <v>62091.263999999996</v>
      </c>
    </row>
    <row r="35" spans="1:5" ht="12.75">
      <c r="A35" s="89" t="s">
        <v>255</v>
      </c>
      <c r="B35" s="90"/>
      <c r="C35" s="90" t="s">
        <v>278</v>
      </c>
      <c r="D35" s="91"/>
      <c r="E35" s="9">
        <f>0.003*A12*12</f>
        <v>114.2784</v>
      </c>
    </row>
    <row r="36" spans="1:5" ht="12.75">
      <c r="A36" s="172" t="s">
        <v>256</v>
      </c>
      <c r="B36" s="173"/>
      <c r="C36" s="173"/>
      <c r="D36" s="92"/>
      <c r="E36" s="9">
        <f>E35+E34+E33+E24+E18+E32</f>
        <v>374247.5472</v>
      </c>
    </row>
    <row r="37" spans="1:5" ht="12.75" customHeight="1">
      <c r="A37" s="120" t="s">
        <v>364</v>
      </c>
      <c r="B37" s="121"/>
      <c r="C37" s="121"/>
      <c r="D37" s="92"/>
      <c r="E37" s="20">
        <f>E36*0.06</f>
        <v>22454.852831999997</v>
      </c>
    </row>
    <row r="38" spans="1:5" ht="12.75" customHeight="1">
      <c r="A38" s="127" t="s">
        <v>544</v>
      </c>
      <c r="B38" s="128"/>
      <c r="C38" s="114"/>
      <c r="D38" s="92"/>
      <c r="E38" s="20">
        <f>(E36+E37)*0.01</f>
        <v>3967.0240003199997</v>
      </c>
    </row>
    <row r="39" spans="1:5" ht="12.75">
      <c r="A39" s="172" t="s">
        <v>257</v>
      </c>
      <c r="B39" s="173"/>
      <c r="C39" s="173"/>
      <c r="D39" s="92"/>
      <c r="E39" s="9">
        <f>SUM(E36:E38)</f>
        <v>400669.42403232</v>
      </c>
    </row>
    <row r="40" spans="1:5" ht="12.75">
      <c r="A40" s="93" t="s">
        <v>248</v>
      </c>
      <c r="B40" s="39"/>
      <c r="C40" s="40"/>
      <c r="D40" s="9"/>
      <c r="E40" s="56">
        <f>E39/A12/12</f>
        <v>10.518245548563508</v>
      </c>
    </row>
    <row r="41" spans="1:5" ht="12.75">
      <c r="A41" s="94"/>
      <c r="B41" s="12"/>
      <c r="C41" s="13"/>
      <c r="D41" s="13"/>
      <c r="E41" s="52"/>
    </row>
  </sheetData>
  <sheetProtection/>
  <mergeCells count="23">
    <mergeCell ref="A17:C17"/>
    <mergeCell ref="A19:C19"/>
    <mergeCell ref="A20:C20"/>
    <mergeCell ref="A21:C21"/>
    <mergeCell ref="A6:E6"/>
    <mergeCell ref="A10:E10"/>
    <mergeCell ref="A14:A15"/>
    <mergeCell ref="C14:C15"/>
    <mergeCell ref="A26:C26"/>
    <mergeCell ref="A27:C27"/>
    <mergeCell ref="A28:C28"/>
    <mergeCell ref="A22:C22"/>
    <mergeCell ref="A23:D23"/>
    <mergeCell ref="A24:C24"/>
    <mergeCell ref="A25:C25"/>
    <mergeCell ref="A29:C29"/>
    <mergeCell ref="A30:C30"/>
    <mergeCell ref="A38:B38"/>
    <mergeCell ref="A39:C39"/>
    <mergeCell ref="B33:C33"/>
    <mergeCell ref="A32:C32"/>
    <mergeCell ref="A36:C36"/>
    <mergeCell ref="A37: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16.875" style="0" customWidth="1"/>
    <col min="2" max="2" width="18.00390625" style="0" customWidth="1"/>
    <col min="3" max="3" width="17.00390625" style="0" customWidth="1"/>
    <col min="4" max="4" width="15.75390625" style="0" customWidth="1"/>
    <col min="5" max="5" width="11.875" style="0" customWidth="1"/>
  </cols>
  <sheetData>
    <row r="1" spans="3:4" ht="15">
      <c r="C1" s="55" t="s">
        <v>251</v>
      </c>
      <c r="D1" s="55"/>
    </row>
    <row r="2" spans="3:4" ht="15">
      <c r="C2" s="55" t="s">
        <v>284</v>
      </c>
      <c r="D2" s="55"/>
    </row>
    <row r="3" spans="3:4" ht="15">
      <c r="C3" s="55" t="s">
        <v>205</v>
      </c>
      <c r="D3" s="55"/>
    </row>
    <row r="6" spans="1:5" ht="15.75" customHeight="1">
      <c r="A6" s="134" t="s">
        <v>365</v>
      </c>
      <c r="B6" s="135"/>
      <c r="C6" s="135"/>
      <c r="D6" s="135"/>
      <c r="E6" s="135"/>
    </row>
    <row r="7" spans="1:5" ht="15.75">
      <c r="A7" s="2" t="s">
        <v>237</v>
      </c>
      <c r="B7" s="2"/>
      <c r="C7" s="1"/>
      <c r="D7" s="1"/>
      <c r="E7" s="1"/>
    </row>
    <row r="8" spans="1:5" ht="14.25">
      <c r="A8" s="3" t="s">
        <v>504</v>
      </c>
      <c r="B8" s="1"/>
      <c r="C8" s="1"/>
      <c r="D8" s="1"/>
      <c r="E8" s="1"/>
    </row>
    <row r="9" spans="1:5" ht="14.25">
      <c r="A9" s="3"/>
      <c r="B9" s="1"/>
      <c r="C9" s="1"/>
      <c r="D9" s="1"/>
      <c r="E9" s="1"/>
    </row>
    <row r="10" spans="1:5" ht="12.75">
      <c r="A10" s="136" t="s">
        <v>240</v>
      </c>
      <c r="B10" s="137"/>
      <c r="C10" s="137"/>
      <c r="D10" s="137"/>
      <c r="E10" s="138"/>
    </row>
    <row r="11" spans="1: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</row>
    <row r="12" spans="1:5" ht="14.25">
      <c r="A12" s="51">
        <v>3397.2</v>
      </c>
      <c r="B12" s="49">
        <v>270</v>
      </c>
      <c r="C12" s="49">
        <v>890</v>
      </c>
      <c r="D12" s="49">
        <v>0</v>
      </c>
      <c r="E12" s="7">
        <v>2548.5</v>
      </c>
    </row>
    <row r="13" spans="1:5" ht="14.25">
      <c r="A13" s="3"/>
      <c r="B13" s="1"/>
      <c r="C13" s="1"/>
      <c r="D13" s="1"/>
      <c r="E13" s="1"/>
    </row>
    <row r="14" spans="1:5" ht="12.75">
      <c r="A14" s="145" t="s">
        <v>245</v>
      </c>
      <c r="B14" s="50" t="s">
        <v>505</v>
      </c>
      <c r="C14" s="147" t="s">
        <v>506</v>
      </c>
      <c r="D14" s="22"/>
      <c r="E14" s="1"/>
    </row>
    <row r="15" spans="1:5" ht="12.75">
      <c r="A15" s="151"/>
      <c r="B15" s="50" t="s">
        <v>507</v>
      </c>
      <c r="C15" s="151"/>
      <c r="D15" s="1"/>
      <c r="E15" s="1"/>
    </row>
    <row r="16" spans="1:5" ht="12.75">
      <c r="A16" s="4"/>
      <c r="B16" s="1"/>
      <c r="C16" s="1"/>
      <c r="D16" s="1"/>
      <c r="E16" s="1"/>
    </row>
    <row r="17" spans="1:5" ht="12.75">
      <c r="A17" s="139" t="s">
        <v>234</v>
      </c>
      <c r="B17" s="140"/>
      <c r="C17" s="140"/>
      <c r="D17" s="47"/>
      <c r="E17" s="48" t="s">
        <v>238</v>
      </c>
    </row>
    <row r="18" spans="1:5" ht="12.75">
      <c r="A18" s="41" t="s">
        <v>235</v>
      </c>
      <c r="B18" s="42"/>
      <c r="C18" s="42"/>
      <c r="D18" s="43"/>
      <c r="E18" s="24">
        <f>E20+E21+E22+E23</f>
        <v>66302.5104</v>
      </c>
    </row>
    <row r="19" spans="1:5" ht="12.75">
      <c r="A19" s="141" t="s">
        <v>246</v>
      </c>
      <c r="B19" s="142"/>
      <c r="C19" s="142"/>
      <c r="D19" s="46"/>
      <c r="E19" s="21"/>
    </row>
    <row r="20" spans="1:5" ht="12.75">
      <c r="A20" s="131" t="s">
        <v>511</v>
      </c>
      <c r="B20" s="132"/>
      <c r="C20" s="132"/>
      <c r="D20" s="44"/>
      <c r="E20" s="45">
        <f>0.375*5800*2*1.203*12</f>
        <v>62796.600000000006</v>
      </c>
    </row>
    <row r="21" spans="1:5" ht="12.75">
      <c r="A21" s="122" t="s">
        <v>571</v>
      </c>
      <c r="B21" s="123"/>
      <c r="C21" s="123"/>
      <c r="D21" s="21"/>
      <c r="E21" s="26">
        <f>0.012*A12*12</f>
        <v>489.19679999999994</v>
      </c>
    </row>
    <row r="22" spans="1:5" ht="12.75">
      <c r="A22" s="122" t="s">
        <v>512</v>
      </c>
      <c r="B22" s="123"/>
      <c r="C22" s="123"/>
      <c r="D22" s="21"/>
      <c r="E22" s="26">
        <f>0.014*A12*12</f>
        <v>570.7296</v>
      </c>
    </row>
    <row r="23" spans="1:5" ht="12.75">
      <c r="A23" s="122" t="s">
        <v>572</v>
      </c>
      <c r="B23" s="123"/>
      <c r="C23" s="123"/>
      <c r="D23" s="133"/>
      <c r="E23" s="27">
        <f>0.06*A12*12</f>
        <v>2445.984</v>
      </c>
    </row>
    <row r="24" spans="1:5" ht="12.75">
      <c r="A24" s="129" t="s">
        <v>236</v>
      </c>
      <c r="B24" s="130"/>
      <c r="C24" s="130"/>
      <c r="D24" s="21"/>
      <c r="E24" s="19">
        <f>E25+E26+E27+E28+E29+E30+E31</f>
        <v>79826.01879999999</v>
      </c>
    </row>
    <row r="25" spans="1:5" ht="12.75">
      <c r="A25" s="122" t="s">
        <v>513</v>
      </c>
      <c r="B25" s="123"/>
      <c r="C25" s="123"/>
      <c r="D25" s="21"/>
      <c r="E25" s="26">
        <f>174*1.5*101.01</f>
        <v>26363.61</v>
      </c>
    </row>
    <row r="26" spans="1:5" ht="12.75">
      <c r="A26" s="122" t="s">
        <v>548</v>
      </c>
      <c r="B26" s="123"/>
      <c r="C26" s="123"/>
      <c r="D26" s="21"/>
      <c r="E26" s="26">
        <f>174*1.5*35.02</f>
        <v>9140.220000000001</v>
      </c>
    </row>
    <row r="27" spans="1:5" ht="12.75">
      <c r="A27" s="122" t="s">
        <v>549</v>
      </c>
      <c r="B27" s="123"/>
      <c r="C27" s="123"/>
      <c r="D27" s="21"/>
      <c r="E27" s="27">
        <f>7000*2.73</f>
        <v>19110</v>
      </c>
    </row>
    <row r="28" spans="1:5" ht="12.75">
      <c r="A28" s="122" t="s">
        <v>508</v>
      </c>
      <c r="B28" s="123"/>
      <c r="C28" s="123"/>
      <c r="D28" s="21"/>
      <c r="E28" s="26">
        <f>0.002*A12*12</f>
        <v>81.5328</v>
      </c>
    </row>
    <row r="29" spans="1:5" ht="12.75">
      <c r="A29" s="122" t="s">
        <v>509</v>
      </c>
      <c r="B29" s="123"/>
      <c r="C29" s="123"/>
      <c r="D29" s="21"/>
      <c r="E29" s="26">
        <f>0.29*A12*12</f>
        <v>11822.255999999998</v>
      </c>
    </row>
    <row r="30" spans="1:5" ht="12.75">
      <c r="A30" s="122" t="s">
        <v>308</v>
      </c>
      <c r="B30" s="123"/>
      <c r="C30" s="123"/>
      <c r="D30" s="133"/>
      <c r="E30" s="27">
        <f>70*5.44+(70*16.17*4)</f>
        <v>4908.400000000001</v>
      </c>
    </row>
    <row r="31" spans="1:5" ht="14.25" customHeight="1">
      <c r="A31" s="28" t="s">
        <v>249</v>
      </c>
      <c r="B31" s="29" t="s">
        <v>550</v>
      </c>
      <c r="C31" s="29"/>
      <c r="D31" s="21"/>
      <c r="E31" s="6">
        <f>70*120</f>
        <v>8400</v>
      </c>
    </row>
    <row r="32" spans="1:5" ht="12.75">
      <c r="A32" s="124" t="s">
        <v>252</v>
      </c>
      <c r="B32" s="125"/>
      <c r="C32" s="125"/>
      <c r="D32" s="30"/>
      <c r="E32" s="9">
        <v>154850</v>
      </c>
    </row>
    <row r="33" spans="1:5" ht="12.75">
      <c r="A33" s="53" t="s">
        <v>265</v>
      </c>
      <c r="B33" s="54"/>
      <c r="C33" s="54" t="s">
        <v>573</v>
      </c>
      <c r="D33" s="30"/>
      <c r="E33" s="19">
        <f>0.81*A12*12</f>
        <v>33020.784</v>
      </c>
    </row>
    <row r="34" spans="1:5" ht="12.75" customHeight="1">
      <c r="A34" s="180" t="s">
        <v>309</v>
      </c>
      <c r="B34" s="181"/>
      <c r="C34" s="98" t="s">
        <v>574</v>
      </c>
      <c r="D34" s="30"/>
      <c r="E34" s="19">
        <f>1.63*A12*12</f>
        <v>66449.23199999999</v>
      </c>
    </row>
    <row r="35" spans="1:5" ht="12.75">
      <c r="A35" s="36" t="s">
        <v>255</v>
      </c>
      <c r="B35" s="37"/>
      <c r="C35" s="37" t="s">
        <v>510</v>
      </c>
      <c r="D35" s="38"/>
      <c r="E35" s="9">
        <f>0.003*A12*12</f>
        <v>122.29919999999998</v>
      </c>
    </row>
    <row r="36" spans="1:5" ht="12.75">
      <c r="A36" s="118" t="s">
        <v>256</v>
      </c>
      <c r="B36" s="119"/>
      <c r="C36" s="119"/>
      <c r="D36" s="30"/>
      <c r="E36" s="9">
        <f>E35+E34+E33+E32+E24+E18</f>
        <v>400570.84439999994</v>
      </c>
    </row>
    <row r="37" spans="1:5" ht="12.75">
      <c r="A37" s="120" t="s">
        <v>364</v>
      </c>
      <c r="B37" s="121"/>
      <c r="C37" s="121"/>
      <c r="D37" s="30"/>
      <c r="E37" s="20">
        <f>E36*0.06</f>
        <v>24034.250663999996</v>
      </c>
    </row>
    <row r="38" spans="1:5" ht="12.75">
      <c r="A38" s="127" t="s">
        <v>544</v>
      </c>
      <c r="B38" s="128"/>
      <c r="C38" s="114"/>
      <c r="D38" s="92"/>
      <c r="E38" s="20">
        <f>(E36+E37)*0.01</f>
        <v>4246.050950639999</v>
      </c>
    </row>
    <row r="39" spans="1:5" ht="12.75">
      <c r="A39" s="118" t="s">
        <v>257</v>
      </c>
      <c r="B39" s="119"/>
      <c r="C39" s="119"/>
      <c r="D39" s="30"/>
      <c r="E39" s="9">
        <f>SUM(E36:E38)</f>
        <v>428851.14601463993</v>
      </c>
    </row>
    <row r="40" spans="1:5" ht="12.75">
      <c r="A40" s="8" t="s">
        <v>248</v>
      </c>
      <c r="B40" s="39"/>
      <c r="C40" s="40"/>
      <c r="D40" s="9" t="s">
        <v>237</v>
      </c>
      <c r="E40" s="113">
        <f>E39/A12/12</f>
        <v>10.519720799841044</v>
      </c>
    </row>
    <row r="41" spans="1:5" ht="12.75">
      <c r="A41" s="11"/>
      <c r="B41" s="12"/>
      <c r="C41" s="13"/>
      <c r="D41" s="13"/>
      <c r="E41" s="1"/>
    </row>
  </sheetData>
  <sheetProtection/>
  <mergeCells count="23">
    <mergeCell ref="A38:B38"/>
    <mergeCell ref="A26:C26"/>
    <mergeCell ref="A27:C27"/>
    <mergeCell ref="A28:C28"/>
    <mergeCell ref="A29:C29"/>
    <mergeCell ref="A37:C37"/>
    <mergeCell ref="A39:C39"/>
    <mergeCell ref="A30:D30"/>
    <mergeCell ref="A32:C32"/>
    <mergeCell ref="A34:B34"/>
    <mergeCell ref="A36:C36"/>
    <mergeCell ref="A20:C20"/>
    <mergeCell ref="A21:C21"/>
    <mergeCell ref="A22:C22"/>
    <mergeCell ref="A23:D23"/>
    <mergeCell ref="A24:C24"/>
    <mergeCell ref="A25:C25"/>
    <mergeCell ref="A6:E6"/>
    <mergeCell ref="A10:E10"/>
    <mergeCell ref="A14:A15"/>
    <mergeCell ref="C14:C15"/>
    <mergeCell ref="A17:C17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38" sqref="A38:E38"/>
    </sheetView>
  </sheetViews>
  <sheetFormatPr defaultColWidth="12.75390625" defaultRowHeight="12.75"/>
  <cols>
    <col min="1" max="1" width="16.75390625" style="0" customWidth="1"/>
    <col min="2" max="2" width="20.00390625" style="0" customWidth="1"/>
    <col min="3" max="3" width="17.375" style="0" customWidth="1"/>
    <col min="4" max="4" width="14.125" style="0" customWidth="1"/>
    <col min="5" max="5" width="14.875" style="0" customWidth="1"/>
  </cols>
  <sheetData>
    <row r="1" spans="3:4" ht="15">
      <c r="C1" s="55" t="s">
        <v>251</v>
      </c>
      <c r="D1" s="55"/>
    </row>
    <row r="2" spans="3:4" ht="15">
      <c r="C2" s="55" t="s">
        <v>284</v>
      </c>
      <c r="D2" s="55"/>
    </row>
    <row r="3" spans="3:4" ht="15">
      <c r="C3" s="55" t="s">
        <v>205</v>
      </c>
      <c r="D3" s="55"/>
    </row>
    <row r="6" spans="1:15" ht="22.5" customHeight="1">
      <c r="A6" s="134" t="s">
        <v>365</v>
      </c>
      <c r="B6" s="135"/>
      <c r="C6" s="135"/>
      <c r="D6" s="135"/>
      <c r="E6" s="135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237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288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36" t="s">
        <v>240</v>
      </c>
      <c r="B10" s="137"/>
      <c r="C10" s="137"/>
      <c r="D10" s="137"/>
      <c r="E10" s="138"/>
      <c r="F10" s="25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51">
        <v>3373.2</v>
      </c>
      <c r="B12" s="49">
        <v>215.6</v>
      </c>
      <c r="C12" s="49">
        <v>822.4</v>
      </c>
      <c r="D12" s="49">
        <v>0</v>
      </c>
      <c r="E12" s="7">
        <v>1428.8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45" t="s">
        <v>245</v>
      </c>
      <c r="B14" s="50" t="s">
        <v>289</v>
      </c>
      <c r="C14" s="147" t="s">
        <v>291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51"/>
      <c r="B15" s="50" t="s">
        <v>290</v>
      </c>
      <c r="C15" s="15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9" t="s">
        <v>234</v>
      </c>
      <c r="B17" s="140"/>
      <c r="C17" s="140"/>
      <c r="D17" s="47"/>
      <c r="E17" s="48" t="s">
        <v>238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1" t="s">
        <v>235</v>
      </c>
      <c r="B18" s="42"/>
      <c r="C18" s="42"/>
      <c r="D18" s="43"/>
      <c r="E18" s="24">
        <f>E20+E21+E22+E23</f>
        <v>50369.270399999994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1" t="s">
        <v>246</v>
      </c>
      <c r="B19" s="142"/>
      <c r="C19" s="142"/>
      <c r="D19" s="46"/>
      <c r="E19" s="2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31" t="s">
        <v>547</v>
      </c>
      <c r="B20" s="132"/>
      <c r="C20" s="132"/>
      <c r="D20" s="44"/>
      <c r="E20" s="45">
        <f>0.32*5800*1.75*1.203*12</f>
        <v>46888.128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22" t="s">
        <v>575</v>
      </c>
      <c r="B21" s="123"/>
      <c r="C21" s="123"/>
      <c r="D21" s="21"/>
      <c r="E21" s="26">
        <f>0.012*A12*12</f>
        <v>485.74080000000004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 customHeight="1">
      <c r="A22" s="122" t="s">
        <v>305</v>
      </c>
      <c r="B22" s="123"/>
      <c r="C22" s="123"/>
      <c r="D22" s="21"/>
      <c r="E22" s="26">
        <f>0.014*A12*12</f>
        <v>566.6976</v>
      </c>
      <c r="F22" s="1"/>
      <c r="G22" s="52"/>
      <c r="H22" s="1"/>
      <c r="I22" s="1"/>
      <c r="J22" s="1"/>
      <c r="K22" s="1"/>
      <c r="L22" s="1"/>
      <c r="M22" s="1"/>
      <c r="N22" s="1"/>
      <c r="O22" s="1"/>
    </row>
    <row r="23" spans="1:15" ht="12.75" customHeight="1">
      <c r="A23" s="122" t="s">
        <v>576</v>
      </c>
      <c r="B23" s="123"/>
      <c r="C23" s="123"/>
      <c r="D23" s="133"/>
      <c r="E23" s="27">
        <f>0.06*A12*12</f>
        <v>2428.7039999999997</v>
      </c>
      <c r="F23" s="1"/>
      <c r="G23" s="52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29" t="s">
        <v>236</v>
      </c>
      <c r="B24" s="130"/>
      <c r="C24" s="130"/>
      <c r="D24" s="21"/>
      <c r="E24" s="19">
        <f>E25+E26+E27+E28+E29+E30+E31</f>
        <v>77296.2028</v>
      </c>
      <c r="F24" s="1"/>
      <c r="G24" s="1"/>
      <c r="H24" s="1"/>
      <c r="I24" s="52"/>
      <c r="J24" s="1"/>
      <c r="K24" s="1"/>
      <c r="L24" s="1"/>
      <c r="M24" s="1"/>
      <c r="N24" s="1"/>
      <c r="O24" s="1"/>
    </row>
    <row r="25" spans="1:15" ht="12.75" customHeight="1">
      <c r="A25" s="122" t="s">
        <v>551</v>
      </c>
      <c r="B25" s="123"/>
      <c r="C25" s="123"/>
      <c r="D25" s="21"/>
      <c r="E25" s="26">
        <f>158*1.5*101.01</f>
        <v>23939.370000000003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22" t="s">
        <v>306</v>
      </c>
      <c r="B26" s="123"/>
      <c r="C26" s="123"/>
      <c r="D26" s="21"/>
      <c r="E26" s="26">
        <f>158*1.5*35.02</f>
        <v>8299.740000000002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22" t="s">
        <v>307</v>
      </c>
      <c r="B27" s="123"/>
      <c r="C27" s="123"/>
      <c r="D27" s="21"/>
      <c r="E27" s="27">
        <f>7300*2.73</f>
        <v>19929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22" t="s">
        <v>292</v>
      </c>
      <c r="B28" s="123"/>
      <c r="C28" s="123"/>
      <c r="D28" s="21"/>
      <c r="E28" s="26">
        <f>0.002*A12*12</f>
        <v>80.95679999999999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22" t="s">
        <v>293</v>
      </c>
      <c r="B29" s="123"/>
      <c r="C29" s="123"/>
      <c r="D29" s="21"/>
      <c r="E29" s="26">
        <f>0.29*A12*12</f>
        <v>11738.735999999997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22" t="s">
        <v>308</v>
      </c>
      <c r="B30" s="123"/>
      <c r="C30" s="123"/>
      <c r="D30" s="21"/>
      <c r="E30" s="27">
        <f>70*5.44+(70*16.17*4)</f>
        <v>4908.400000000001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8" t="s">
        <v>249</v>
      </c>
      <c r="B31" s="29" t="s">
        <v>550</v>
      </c>
      <c r="C31" s="29"/>
      <c r="D31" s="21"/>
      <c r="E31" s="6">
        <f>70*120</f>
        <v>8400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24" t="s">
        <v>252</v>
      </c>
      <c r="B32" s="125"/>
      <c r="C32" s="125"/>
      <c r="D32" s="30"/>
      <c r="E32" s="9">
        <v>171250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3" t="s">
        <v>265</v>
      </c>
      <c r="B33" s="54"/>
      <c r="C33" s="54" t="s">
        <v>577</v>
      </c>
      <c r="D33" s="30"/>
      <c r="E33" s="19">
        <f>0.81*A12*12</f>
        <v>32787.504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80" t="s">
        <v>309</v>
      </c>
      <c r="B34" s="181"/>
      <c r="C34" s="98" t="s">
        <v>578</v>
      </c>
      <c r="D34" s="30"/>
      <c r="E34" s="19">
        <f>1.63*A12*12</f>
        <v>65979.79199999999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6" t="s">
        <v>255</v>
      </c>
      <c r="B35" s="37"/>
      <c r="C35" s="37" t="s">
        <v>294</v>
      </c>
      <c r="D35" s="38"/>
      <c r="E35" s="9">
        <f>0.003*A12*12</f>
        <v>121.43520000000001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18" t="s">
        <v>256</v>
      </c>
      <c r="B36" s="119"/>
      <c r="C36" s="119"/>
      <c r="D36" s="30"/>
      <c r="E36" s="9">
        <f>E35+E34+E33+E32+E24+E18</f>
        <v>397804.2044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20" t="s">
        <v>364</v>
      </c>
      <c r="B37" s="121"/>
      <c r="C37" s="121"/>
      <c r="D37" s="30"/>
      <c r="E37" s="20">
        <f>E36*0.06</f>
        <v>23868.252264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27" t="s">
        <v>544</v>
      </c>
      <c r="B38" s="128"/>
      <c r="C38" s="114"/>
      <c r="D38" s="92"/>
      <c r="E38" s="20">
        <f>(E36+E37)*0.01</f>
        <v>4216.72456664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18" t="s">
        <v>257</v>
      </c>
      <c r="B39" s="119"/>
      <c r="C39" s="119"/>
      <c r="D39" s="30"/>
      <c r="E39" s="9">
        <f>SUM(E36:E38)</f>
        <v>425889.18123064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8" t="s">
        <v>248</v>
      </c>
      <c r="B40" s="39"/>
      <c r="C40" s="40"/>
      <c r="D40" s="9" t="s">
        <v>237</v>
      </c>
      <c r="E40" s="56">
        <f>E39/A12/12</f>
        <v>10.521393662561762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1"/>
      <c r="B41" s="12"/>
      <c r="C41" s="13"/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1"/>
      <c r="B42" s="12"/>
      <c r="C42" s="57"/>
      <c r="D42" s="149"/>
      <c r="E42" s="150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1"/>
      <c r="B43" s="12"/>
      <c r="C43" s="14"/>
      <c r="D43" s="1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5"/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62"/>
      <c r="B45" s="15"/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7"/>
      <c r="B46" s="15"/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 t="s">
        <v>237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sheetProtection/>
  <mergeCells count="24">
    <mergeCell ref="A17:C17"/>
    <mergeCell ref="A19:C19"/>
    <mergeCell ref="A20:C20"/>
    <mergeCell ref="A21:C21"/>
    <mergeCell ref="A6:E6"/>
    <mergeCell ref="A10:E10"/>
    <mergeCell ref="A14:A15"/>
    <mergeCell ref="C14:C15"/>
    <mergeCell ref="A26:C26"/>
    <mergeCell ref="A27:C27"/>
    <mergeCell ref="A28:C28"/>
    <mergeCell ref="A29:C29"/>
    <mergeCell ref="A22:C22"/>
    <mergeCell ref="A23:D23"/>
    <mergeCell ref="A24:C24"/>
    <mergeCell ref="A25:C25"/>
    <mergeCell ref="D42:E42"/>
    <mergeCell ref="A36:C36"/>
    <mergeCell ref="A37:C37"/>
    <mergeCell ref="A39:C39"/>
    <mergeCell ref="A34:B34"/>
    <mergeCell ref="A30:C30"/>
    <mergeCell ref="A32:C32"/>
    <mergeCell ref="A38:B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H19" sqref="H19"/>
    </sheetView>
  </sheetViews>
  <sheetFormatPr defaultColWidth="12.75390625" defaultRowHeight="12.75"/>
  <cols>
    <col min="1" max="1" width="16.75390625" style="0" customWidth="1"/>
    <col min="2" max="2" width="20.00390625" style="0" customWidth="1"/>
    <col min="3" max="3" width="15.875" style="0" customWidth="1"/>
    <col min="4" max="4" width="17.875" style="0" customWidth="1"/>
  </cols>
  <sheetData>
    <row r="1" spans="3:5" ht="12.75">
      <c r="C1" s="70" t="s">
        <v>251</v>
      </c>
      <c r="D1" s="70"/>
      <c r="E1" s="70"/>
    </row>
    <row r="2" spans="3:5" ht="12.75">
      <c r="C2" s="70" t="s">
        <v>382</v>
      </c>
      <c r="D2" s="70"/>
      <c r="E2" s="70"/>
    </row>
    <row r="3" spans="3:5" ht="15">
      <c r="C3" s="55" t="s">
        <v>205</v>
      </c>
      <c r="D3" s="70"/>
      <c r="E3" s="70"/>
    </row>
    <row r="6" spans="1:5" ht="22.5" customHeight="1">
      <c r="A6" s="134" t="s">
        <v>365</v>
      </c>
      <c r="B6" s="135"/>
      <c r="C6" s="135"/>
      <c r="D6" s="135"/>
      <c r="E6" s="135"/>
    </row>
    <row r="8" spans="6:15" ht="22.5" customHeight="1"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2" t="s">
        <v>237</v>
      </c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4.25">
      <c r="A10" s="3" t="s">
        <v>668</v>
      </c>
      <c r="B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4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 customHeight="1">
      <c r="A12" s="136" t="s">
        <v>240</v>
      </c>
      <c r="B12" s="137"/>
      <c r="C12" s="137"/>
      <c r="D12" s="137"/>
      <c r="E12" s="138"/>
      <c r="F12" s="25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8" t="s">
        <v>241</v>
      </c>
      <c r="B13" s="18" t="s">
        <v>242</v>
      </c>
      <c r="C13" s="18" t="s">
        <v>243</v>
      </c>
      <c r="D13" s="18" t="s">
        <v>244</v>
      </c>
      <c r="E13" s="18" t="s">
        <v>239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4.25">
      <c r="A14" s="51">
        <v>244</v>
      </c>
      <c r="B14" s="7"/>
      <c r="C14" s="7"/>
      <c r="D14" s="7"/>
      <c r="E14" s="7"/>
      <c r="G14" s="1"/>
      <c r="H14" s="1"/>
      <c r="I14" s="1"/>
      <c r="J14" s="1"/>
      <c r="K14" s="1"/>
      <c r="L14" s="1"/>
      <c r="M14" s="1"/>
      <c r="N14" s="1"/>
      <c r="O14" s="1"/>
    </row>
    <row r="15" spans="1:15" ht="14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69"/>
      <c r="B16" s="66"/>
      <c r="C16" s="6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7" customHeight="1">
      <c r="A18" s="139" t="s">
        <v>234</v>
      </c>
      <c r="B18" s="140"/>
      <c r="C18" s="140"/>
      <c r="D18" s="47"/>
      <c r="E18" s="48" t="s">
        <v>238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41" t="s">
        <v>235</v>
      </c>
      <c r="B19" s="42"/>
      <c r="C19" s="42"/>
      <c r="D19" s="43"/>
      <c r="E19" s="24">
        <f>E21+E22+E23+E24</f>
        <v>1130.9604000000002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41" t="s">
        <v>436</v>
      </c>
      <c r="B20" s="142"/>
      <c r="C20" s="142"/>
      <c r="D20" s="46"/>
      <c r="E20" s="2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31" t="s">
        <v>448</v>
      </c>
      <c r="B21" s="132"/>
      <c r="C21" s="132"/>
      <c r="D21" s="44"/>
      <c r="E21" s="45">
        <f>0.006*5800*1.75*1.203*12</f>
        <v>879.1524000000002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22" t="s">
        <v>672</v>
      </c>
      <c r="B22" s="123"/>
      <c r="C22" s="123"/>
      <c r="D22" s="21"/>
      <c r="E22" s="26">
        <f>0.012*A14*12</f>
        <v>35.135999999999996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22" t="s">
        <v>673</v>
      </c>
      <c r="B23" s="123"/>
      <c r="C23" s="123"/>
      <c r="D23" s="21"/>
      <c r="E23" s="26">
        <f>0.014*A14*12</f>
        <v>40.992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22" t="s">
        <v>674</v>
      </c>
      <c r="B24" s="123"/>
      <c r="C24" s="123"/>
      <c r="D24" s="133"/>
      <c r="E24" s="27">
        <f>0.06*A14*12</f>
        <v>175.67999999999998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29" t="s">
        <v>236</v>
      </c>
      <c r="B25" s="130"/>
      <c r="C25" s="130"/>
      <c r="D25" s="21"/>
      <c r="E25" s="19">
        <f>E26+E27+E28+E29+E30+E31</f>
        <v>3938.286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22" t="s">
        <v>669</v>
      </c>
      <c r="B26" s="123"/>
      <c r="C26" s="123"/>
      <c r="D26" s="21"/>
      <c r="E26" s="26">
        <f>14*1.5*101.01</f>
        <v>2121.21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22" t="s">
        <v>675</v>
      </c>
      <c r="B27" s="123"/>
      <c r="C27" s="123"/>
      <c r="D27" s="21"/>
      <c r="E27" s="26">
        <f>14*1.5*35.02</f>
        <v>735.4200000000001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22" t="s">
        <v>670</v>
      </c>
      <c r="B28" s="123"/>
      <c r="C28" s="123"/>
      <c r="D28" s="21"/>
      <c r="E28" s="26">
        <f>0.002*A14*12</f>
        <v>5.856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22" t="s">
        <v>676</v>
      </c>
      <c r="B29" s="123"/>
      <c r="C29" s="123"/>
      <c r="D29" s="21"/>
      <c r="E29" s="26">
        <f>0.29*A14*12</f>
        <v>849.1199999999999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22" t="s">
        <v>677</v>
      </c>
      <c r="B30" s="123"/>
      <c r="C30" s="123"/>
      <c r="D30" s="21"/>
      <c r="E30" s="68">
        <f>6*5.44+(6*16.17)*2</f>
        <v>226.68</v>
      </c>
      <c r="F30" s="67"/>
      <c r="G30" s="67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8" t="s">
        <v>249</v>
      </c>
      <c r="B31" s="29" t="s">
        <v>268</v>
      </c>
      <c r="C31" s="29"/>
      <c r="D31" s="21"/>
      <c r="E31" s="6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24" t="s">
        <v>252</v>
      </c>
      <c r="B32" s="125"/>
      <c r="C32" s="125"/>
      <c r="D32" s="30"/>
      <c r="E32" s="9">
        <v>7090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31" t="s">
        <v>253</v>
      </c>
      <c r="B33" s="126" t="s">
        <v>678</v>
      </c>
      <c r="C33" s="126"/>
      <c r="D33" s="30"/>
      <c r="E33" s="19">
        <f>0.81*A14*12</f>
        <v>2371.6800000000003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32" t="s">
        <v>254</v>
      </c>
      <c r="B34" s="33"/>
      <c r="C34" s="34" t="s">
        <v>679</v>
      </c>
      <c r="D34" s="35"/>
      <c r="E34" s="19">
        <f>2.04*A14*12</f>
        <v>5973.12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6" t="s">
        <v>255</v>
      </c>
      <c r="B35" s="37"/>
      <c r="C35" s="37" t="s">
        <v>671</v>
      </c>
      <c r="D35" s="38"/>
      <c r="E35" s="19">
        <f>0.003*A14*12</f>
        <v>8.783999999999999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18" t="s">
        <v>256</v>
      </c>
      <c r="B36" s="119"/>
      <c r="C36" s="119"/>
      <c r="D36" s="30"/>
      <c r="E36" s="9">
        <f>E35+E34+E33+E32+E25+E19</f>
        <v>20512.8304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20" t="s">
        <v>364</v>
      </c>
      <c r="B37" s="121"/>
      <c r="C37" s="121"/>
      <c r="D37" s="30"/>
      <c r="E37" s="20">
        <f>E36*0.06</f>
        <v>1230.769824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27" t="s">
        <v>544</v>
      </c>
      <c r="B38" s="128"/>
      <c r="C38" s="114"/>
      <c r="D38" s="92"/>
      <c r="E38" s="20">
        <f>(E36+E37)*0.01</f>
        <v>217.43600224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18" t="s">
        <v>247</v>
      </c>
      <c r="B39" s="119"/>
      <c r="C39" s="119"/>
      <c r="D39" s="30"/>
      <c r="E39" s="9">
        <f>SUM(E36:E38)</f>
        <v>21961.036226239998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8" t="s">
        <v>248</v>
      </c>
      <c r="B40" s="39"/>
      <c r="C40" s="40"/>
      <c r="D40" s="9"/>
      <c r="E40" s="113">
        <f>E39/A14/12</f>
        <v>7.50035390240437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1"/>
      <c r="B41" s="12"/>
      <c r="C41" s="13"/>
      <c r="D41" s="13"/>
      <c r="E41" s="63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1"/>
      <c r="B42" s="12"/>
      <c r="C42" s="13"/>
      <c r="D42" s="13"/>
      <c r="E42" s="63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1"/>
      <c r="B43" s="12"/>
      <c r="C43" s="13"/>
      <c r="D43" s="13"/>
      <c r="E43" s="63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3.5" customHeight="1">
      <c r="A44" s="11"/>
      <c r="B44" s="12"/>
      <c r="C44" s="65"/>
      <c r="D44" s="1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1"/>
      <c r="B45" s="12"/>
      <c r="C45" s="14"/>
      <c r="D45" s="1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1"/>
      <c r="B46" s="12"/>
      <c r="C46" s="14"/>
      <c r="D46" s="1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5"/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7"/>
      <c r="B48" s="15"/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 t="s">
        <v>237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sheetProtection/>
  <mergeCells count="20">
    <mergeCell ref="A39:C39"/>
    <mergeCell ref="A38:B38"/>
    <mergeCell ref="A29:C29"/>
    <mergeCell ref="A30:C30"/>
    <mergeCell ref="A32:C32"/>
    <mergeCell ref="B33:C33"/>
    <mergeCell ref="A36:C36"/>
    <mergeCell ref="A37:C37"/>
    <mergeCell ref="A23:C23"/>
    <mergeCell ref="A24:D24"/>
    <mergeCell ref="A25:C25"/>
    <mergeCell ref="A26:C26"/>
    <mergeCell ref="A27:C27"/>
    <mergeCell ref="A28:C28"/>
    <mergeCell ref="A6:E6"/>
    <mergeCell ref="A12:E12"/>
    <mergeCell ref="A18:C18"/>
    <mergeCell ref="A20:C20"/>
    <mergeCell ref="A21:C21"/>
    <mergeCell ref="A22:C2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B55" sqref="B55"/>
    </sheetView>
  </sheetViews>
  <sheetFormatPr defaultColWidth="12.75390625" defaultRowHeight="12.75"/>
  <cols>
    <col min="1" max="1" width="16.75390625" style="0" customWidth="1"/>
    <col min="2" max="2" width="20.00390625" style="0" customWidth="1"/>
    <col min="3" max="3" width="17.375" style="0" customWidth="1"/>
    <col min="4" max="4" width="14.125" style="0" customWidth="1"/>
    <col min="5" max="5" width="14.87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205</v>
      </c>
      <c r="D3" s="55"/>
    </row>
    <row r="6" spans="1:15" ht="22.5" customHeight="1">
      <c r="A6" s="134" t="s">
        <v>365</v>
      </c>
      <c r="B6" s="135"/>
      <c r="C6" s="135"/>
      <c r="D6" s="135"/>
      <c r="E6" s="135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>
      <c r="A7" s="2" t="s">
        <v>237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 customHeight="1">
      <c r="A8" s="3" t="s">
        <v>295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36" t="s">
        <v>240</v>
      </c>
      <c r="B10" s="137"/>
      <c r="C10" s="137"/>
      <c r="D10" s="137"/>
      <c r="E10" s="138"/>
      <c r="F10" s="25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51">
        <v>3579.9</v>
      </c>
      <c r="B12" s="49">
        <v>276</v>
      </c>
      <c r="C12" s="49">
        <v>1219</v>
      </c>
      <c r="D12" s="49"/>
      <c r="E12" s="7">
        <v>2756.4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45" t="s">
        <v>245</v>
      </c>
      <c r="B14" s="50" t="s">
        <v>296</v>
      </c>
      <c r="C14" s="147" t="s">
        <v>298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51"/>
      <c r="B15" s="50" t="s">
        <v>297</v>
      </c>
      <c r="C15" s="15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9" t="s">
        <v>234</v>
      </c>
      <c r="B17" s="140"/>
      <c r="C17" s="140"/>
      <c r="D17" s="47"/>
      <c r="E17" s="48" t="s">
        <v>238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1" t="s">
        <v>235</v>
      </c>
      <c r="B18" s="42"/>
      <c r="C18" s="42"/>
      <c r="D18" s="43"/>
      <c r="E18" s="24">
        <f>E20+E21+E22+E23</f>
        <v>76957.15680000003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1" t="s">
        <v>246</v>
      </c>
      <c r="B19" s="142"/>
      <c r="C19" s="142"/>
      <c r="D19" s="46"/>
      <c r="E19" s="2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31" t="s">
        <v>646</v>
      </c>
      <c r="B20" s="132"/>
      <c r="C20" s="132"/>
      <c r="D20" s="44"/>
      <c r="E20" s="45">
        <f>0.5*5800*1.75*1.203*12</f>
        <v>73262.70000000001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22" t="s">
        <v>647</v>
      </c>
      <c r="B21" s="123"/>
      <c r="C21" s="123"/>
      <c r="D21" s="21"/>
      <c r="E21" s="26">
        <f>0.012*A12*12</f>
        <v>515.5056000000001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22" t="s">
        <v>314</v>
      </c>
      <c r="B22" s="123"/>
      <c r="C22" s="123"/>
      <c r="D22" s="21"/>
      <c r="E22" s="26">
        <f>0.014*A12*12</f>
        <v>601.4232</v>
      </c>
      <c r="F22" s="1"/>
      <c r="G22" s="52"/>
      <c r="H22" s="1"/>
      <c r="I22" s="1"/>
      <c r="J22" s="1"/>
      <c r="K22" s="1"/>
      <c r="L22" s="1"/>
      <c r="M22" s="1"/>
      <c r="N22" s="1"/>
      <c r="O22" s="1"/>
    </row>
    <row r="23" spans="1:15" ht="12.75">
      <c r="A23" s="122" t="s">
        <v>648</v>
      </c>
      <c r="B23" s="123"/>
      <c r="C23" s="123"/>
      <c r="D23" s="133"/>
      <c r="E23" s="27">
        <f>0.06*A12*12</f>
        <v>2577.5280000000002</v>
      </c>
      <c r="F23" s="1"/>
      <c r="G23" s="52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29" t="s">
        <v>236</v>
      </c>
      <c r="B24" s="130"/>
      <c r="C24" s="130"/>
      <c r="D24" s="21"/>
      <c r="E24" s="19">
        <f>E25+E26+E27+E28+E29+E30+E31</f>
        <v>71118.41960000001</v>
      </c>
      <c r="F24" s="1"/>
      <c r="G24" s="1"/>
      <c r="H24" s="1"/>
      <c r="I24" s="52"/>
      <c r="J24" s="1"/>
      <c r="K24" s="1"/>
      <c r="L24" s="1"/>
      <c r="M24" s="1"/>
      <c r="N24" s="1"/>
      <c r="O24" s="1"/>
    </row>
    <row r="25" spans="1:15" ht="12.75" customHeight="1">
      <c r="A25" s="122" t="s">
        <v>649</v>
      </c>
      <c r="B25" s="123"/>
      <c r="C25" s="123"/>
      <c r="D25" s="21"/>
      <c r="E25" s="26">
        <f>170*1.5*101.01</f>
        <v>25757.550000000003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22" t="s">
        <v>315</v>
      </c>
      <c r="B26" s="123"/>
      <c r="C26" s="123"/>
      <c r="D26" s="21"/>
      <c r="E26" s="26">
        <f>170*1.5*35.02</f>
        <v>8930.1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22" t="s">
        <v>316</v>
      </c>
      <c r="B27" s="123"/>
      <c r="C27" s="123"/>
      <c r="D27" s="21"/>
      <c r="E27" s="27">
        <f>4600*2.73</f>
        <v>12558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22" t="s">
        <v>299</v>
      </c>
      <c r="B28" s="123"/>
      <c r="C28" s="123"/>
      <c r="D28" s="21"/>
      <c r="E28" s="26">
        <f>0.002*A12*12</f>
        <v>85.91760000000001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22" t="s">
        <v>300</v>
      </c>
      <c r="B29" s="123"/>
      <c r="C29" s="123"/>
      <c r="D29" s="21"/>
      <c r="E29" s="26">
        <f>0.29*A12*12</f>
        <v>12458.052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22" t="s">
        <v>317</v>
      </c>
      <c r="B30" s="123"/>
      <c r="C30" s="123"/>
      <c r="D30" s="21"/>
      <c r="E30" s="27">
        <f>80*5.44+80*16.17</f>
        <v>1728.8000000000002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8" t="s">
        <v>249</v>
      </c>
      <c r="B31" s="29" t="s">
        <v>206</v>
      </c>
      <c r="C31" s="29"/>
      <c r="D31" s="21"/>
      <c r="E31" s="6">
        <f>80*120</f>
        <v>9600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24" t="s">
        <v>252</v>
      </c>
      <c r="B32" s="125"/>
      <c r="C32" s="125"/>
      <c r="D32" s="30"/>
      <c r="E32" s="9">
        <v>169085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3" t="s">
        <v>265</v>
      </c>
      <c r="B33" s="54"/>
      <c r="C33" s="54" t="s">
        <v>650</v>
      </c>
      <c r="D33" s="30"/>
      <c r="E33" s="19">
        <f>0.81*A12*12</f>
        <v>34796.628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43" t="s">
        <v>651</v>
      </c>
      <c r="B34" s="144"/>
      <c r="C34" s="144"/>
      <c r="D34" s="30"/>
      <c r="E34" s="19">
        <f>1.63*A12*12</f>
        <v>70022.844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6" t="s">
        <v>255</v>
      </c>
      <c r="B35" s="37"/>
      <c r="C35" s="37" t="s">
        <v>301</v>
      </c>
      <c r="D35" s="38"/>
      <c r="E35" s="9">
        <f>0.003*A12*12</f>
        <v>128.87640000000002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18" t="s">
        <v>256</v>
      </c>
      <c r="B36" s="119"/>
      <c r="C36" s="119"/>
      <c r="D36" s="30"/>
      <c r="E36" s="9">
        <f>E35+E34+E33+E32+E24+E18</f>
        <v>422108.92480000004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20" t="s">
        <v>364</v>
      </c>
      <c r="B37" s="121"/>
      <c r="C37" s="121"/>
      <c r="D37" s="30"/>
      <c r="E37" s="20">
        <f>E36*0.06</f>
        <v>25326.535488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27" t="s">
        <v>544</v>
      </c>
      <c r="B38" s="128"/>
      <c r="C38" s="114"/>
      <c r="D38" s="92"/>
      <c r="E38" s="20">
        <f>(E36+E37)*0.01</f>
        <v>4474.354602880001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18" t="s">
        <v>257</v>
      </c>
      <c r="B39" s="119"/>
      <c r="C39" s="119"/>
      <c r="D39" s="30"/>
      <c r="E39" s="9">
        <f>SUM(E36:E38)</f>
        <v>451909.8148908801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8" t="s">
        <v>248</v>
      </c>
      <c r="B40" s="39"/>
      <c r="C40" s="40"/>
      <c r="D40" s="9" t="s">
        <v>237</v>
      </c>
      <c r="E40" s="56">
        <f>E39/A12/12</f>
        <v>10.519609832930158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1"/>
      <c r="B41" s="12"/>
      <c r="C41" s="13"/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 hidden="1">
      <c r="A42" s="11" t="s">
        <v>250</v>
      </c>
      <c r="B42" s="12"/>
      <c r="C42" s="57" t="s">
        <v>285</v>
      </c>
      <c r="D42" s="149" t="s">
        <v>266</v>
      </c>
      <c r="E42" s="150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1"/>
      <c r="B43" s="12"/>
      <c r="C43" s="14"/>
      <c r="D43" s="1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5"/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237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sheetProtection/>
  <mergeCells count="24">
    <mergeCell ref="D42:E42"/>
    <mergeCell ref="A34:C34"/>
    <mergeCell ref="A36:C36"/>
    <mergeCell ref="A37:C37"/>
    <mergeCell ref="A39:C39"/>
    <mergeCell ref="A38:B38"/>
    <mergeCell ref="A30:C30"/>
    <mergeCell ref="A32:C32"/>
    <mergeCell ref="A26:C26"/>
    <mergeCell ref="A27:C27"/>
    <mergeCell ref="A28:C28"/>
    <mergeCell ref="A29:C29"/>
    <mergeCell ref="A20:C20"/>
    <mergeCell ref="A21:C21"/>
    <mergeCell ref="A22:C22"/>
    <mergeCell ref="A23:D23"/>
    <mergeCell ref="A24:C24"/>
    <mergeCell ref="A25:C25"/>
    <mergeCell ref="A6:E6"/>
    <mergeCell ref="A10:E10"/>
    <mergeCell ref="A14:A15"/>
    <mergeCell ref="C14:C15"/>
    <mergeCell ref="A17:C17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E33" sqref="E33"/>
    </sheetView>
  </sheetViews>
  <sheetFormatPr defaultColWidth="12.75390625" defaultRowHeight="12.75"/>
  <cols>
    <col min="1" max="1" width="16.75390625" style="0" customWidth="1"/>
    <col min="2" max="2" width="20.00390625" style="0" customWidth="1"/>
    <col min="3" max="3" width="17.375" style="0" customWidth="1"/>
    <col min="4" max="4" width="14.125" style="0" customWidth="1"/>
    <col min="5" max="5" width="14.87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205</v>
      </c>
      <c r="D3" s="55"/>
    </row>
    <row r="6" spans="1:15" ht="22.5" customHeight="1">
      <c r="A6" s="134" t="s">
        <v>365</v>
      </c>
      <c r="B6" s="135"/>
      <c r="C6" s="135"/>
      <c r="D6" s="135"/>
      <c r="E6" s="135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>
      <c r="A7" s="2" t="s">
        <v>237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 customHeight="1">
      <c r="A8" s="3" t="s">
        <v>327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36" t="s">
        <v>240</v>
      </c>
      <c r="B10" s="137"/>
      <c r="C10" s="137"/>
      <c r="D10" s="137"/>
      <c r="E10" s="138"/>
      <c r="F10" s="25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51">
        <v>2715.6</v>
      </c>
      <c r="B12" s="49">
        <v>266</v>
      </c>
      <c r="C12" s="49">
        <v>981.1</v>
      </c>
      <c r="D12" s="49"/>
      <c r="E12" s="7">
        <v>2943.7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45" t="s">
        <v>245</v>
      </c>
      <c r="B14" s="50" t="s">
        <v>328</v>
      </c>
      <c r="C14" s="147" t="s">
        <v>330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51"/>
      <c r="B15" s="50" t="s">
        <v>329</v>
      </c>
      <c r="C15" s="15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9" t="s">
        <v>234</v>
      </c>
      <c r="B17" s="140"/>
      <c r="C17" s="140"/>
      <c r="D17" s="47"/>
      <c r="E17" s="48" t="s">
        <v>238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1" t="s">
        <v>235</v>
      </c>
      <c r="B18" s="42"/>
      <c r="C18" s="42"/>
      <c r="D18" s="43"/>
      <c r="E18" s="24">
        <f>E20+E21+E22+E23</f>
        <v>64343.1672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1" t="s">
        <v>246</v>
      </c>
      <c r="B19" s="142"/>
      <c r="C19" s="142"/>
      <c r="D19" s="46"/>
      <c r="E19" s="2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31" t="s">
        <v>652</v>
      </c>
      <c r="B20" s="132"/>
      <c r="C20" s="132"/>
      <c r="D20" s="44"/>
      <c r="E20" s="45">
        <f>0.42*5800*1.75*1.203*12</f>
        <v>61540.668000000005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22" t="s">
        <v>657</v>
      </c>
      <c r="B21" s="123"/>
      <c r="C21" s="123"/>
      <c r="D21" s="21"/>
      <c r="E21" s="26">
        <f>0.012*A12*12</f>
        <v>391.04640000000006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22" t="s">
        <v>332</v>
      </c>
      <c r="B22" s="123"/>
      <c r="C22" s="123"/>
      <c r="D22" s="21"/>
      <c r="E22" s="26">
        <f>0.014*A12*12</f>
        <v>456.2208</v>
      </c>
      <c r="F22" s="1"/>
      <c r="G22" s="52"/>
      <c r="H22" s="1"/>
      <c r="I22" s="1"/>
      <c r="J22" s="1"/>
      <c r="K22" s="1"/>
      <c r="L22" s="1"/>
      <c r="M22" s="1"/>
      <c r="N22" s="1"/>
      <c r="O22" s="1"/>
    </row>
    <row r="23" spans="1:15" ht="12.75">
      <c r="A23" s="122" t="s">
        <v>658</v>
      </c>
      <c r="B23" s="123"/>
      <c r="C23" s="123"/>
      <c r="D23" s="133"/>
      <c r="E23" s="27">
        <f>0.06*A12*12</f>
        <v>1955.2319999999997</v>
      </c>
      <c r="F23" s="1"/>
      <c r="G23" s="52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29" t="s">
        <v>236</v>
      </c>
      <c r="B24" s="130"/>
      <c r="C24" s="130"/>
      <c r="D24" s="21"/>
      <c r="E24" s="19">
        <f>E25+E26+E27+E28+E29+E30+E31</f>
        <v>58233.832400000014</v>
      </c>
      <c r="F24" s="1"/>
      <c r="G24" s="1"/>
      <c r="H24" s="1"/>
      <c r="I24" s="52"/>
      <c r="J24" s="1"/>
      <c r="K24" s="1"/>
      <c r="L24" s="1"/>
      <c r="M24" s="1"/>
      <c r="N24" s="1"/>
      <c r="O24" s="1"/>
    </row>
    <row r="25" spans="1:15" ht="12.75" customHeight="1">
      <c r="A25" s="122" t="s">
        <v>653</v>
      </c>
      <c r="B25" s="123"/>
      <c r="C25" s="123"/>
      <c r="D25" s="21"/>
      <c r="E25" s="26">
        <f>146*1.5*101.01</f>
        <v>22121.190000000002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67" t="s">
        <v>659</v>
      </c>
      <c r="B26" s="168"/>
      <c r="C26" s="168"/>
      <c r="D26" s="21"/>
      <c r="E26" s="26">
        <f>146*1.5*35.02</f>
        <v>7669.380000000001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22" t="s">
        <v>660</v>
      </c>
      <c r="B27" s="123"/>
      <c r="C27" s="123"/>
      <c r="D27" s="21"/>
      <c r="E27" s="27">
        <f>6300*2.73</f>
        <v>17199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22" t="s">
        <v>333</v>
      </c>
      <c r="B28" s="123"/>
      <c r="C28" s="123"/>
      <c r="D28" s="21"/>
      <c r="E28" s="26">
        <f>0.002*A12*12</f>
        <v>65.17439999999999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22" t="s">
        <v>661</v>
      </c>
      <c r="B29" s="123"/>
      <c r="C29" s="123"/>
      <c r="D29" s="21"/>
      <c r="E29" s="26">
        <f>0.29*A12*12</f>
        <v>9450.287999999999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22" t="s">
        <v>317</v>
      </c>
      <c r="B30" s="123"/>
      <c r="C30" s="123"/>
      <c r="D30" s="21"/>
      <c r="E30" s="27">
        <f>80*5.44+80*16.17</f>
        <v>1728.8000000000002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8" t="s">
        <v>249</v>
      </c>
      <c r="B31" s="29"/>
      <c r="C31" s="29"/>
      <c r="D31" s="21"/>
      <c r="E31" s="6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24" t="s">
        <v>252</v>
      </c>
      <c r="B32" s="125"/>
      <c r="C32" s="125"/>
      <c r="D32" s="30"/>
      <c r="E32" s="9">
        <v>118030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3" t="s">
        <v>265</v>
      </c>
      <c r="B33" s="54"/>
      <c r="C33" s="54" t="s">
        <v>662</v>
      </c>
      <c r="D33" s="30"/>
      <c r="E33" s="19">
        <f>0.81*A12*12</f>
        <v>26395.631999999998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43" t="s">
        <v>764</v>
      </c>
      <c r="B34" s="144"/>
      <c r="C34" s="144"/>
      <c r="D34" s="30"/>
      <c r="E34" s="19">
        <f>1.63*A12*12</f>
        <v>53117.136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6" t="s">
        <v>255</v>
      </c>
      <c r="B35" s="37"/>
      <c r="C35" s="37" t="s">
        <v>654</v>
      </c>
      <c r="D35" s="38"/>
      <c r="E35" s="9">
        <f>0.003*A12*12</f>
        <v>97.76160000000002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18" t="s">
        <v>256</v>
      </c>
      <c r="B36" s="119"/>
      <c r="C36" s="119"/>
      <c r="D36" s="30"/>
      <c r="E36" s="9">
        <f>E35+E34+E33+E32+E24+E18</f>
        <v>320217.52920000005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20" t="s">
        <v>364</v>
      </c>
      <c r="B37" s="121"/>
      <c r="C37" s="121"/>
      <c r="D37" s="30"/>
      <c r="E37" s="20">
        <f>E36*0.06</f>
        <v>19213.051752000003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27" t="s">
        <v>544</v>
      </c>
      <c r="B38" s="128"/>
      <c r="C38" s="114"/>
      <c r="D38" s="30"/>
      <c r="E38" s="20">
        <f>(E36+E37)*0.01</f>
        <v>3394.3058095200004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18" t="s">
        <v>257</v>
      </c>
      <c r="B39" s="119"/>
      <c r="C39" s="119"/>
      <c r="D39" s="30"/>
      <c r="E39" s="9">
        <f>SUM(E36:E38)</f>
        <v>342824.88676152006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8" t="s">
        <v>248</v>
      </c>
      <c r="B40" s="39"/>
      <c r="C40" s="40"/>
      <c r="D40" s="9" t="s">
        <v>237</v>
      </c>
      <c r="E40" s="113">
        <f>E39/A12/12</f>
        <v>10.520231463934307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1"/>
      <c r="B41" s="12"/>
      <c r="C41" s="13"/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 hidden="1">
      <c r="A42" s="11" t="s">
        <v>250</v>
      </c>
      <c r="B42" s="12"/>
      <c r="C42" s="57" t="s">
        <v>285</v>
      </c>
      <c r="D42" s="149" t="s">
        <v>266</v>
      </c>
      <c r="E42" s="150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1"/>
      <c r="B43" s="12"/>
      <c r="C43" s="14"/>
      <c r="D43" s="1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5"/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62" t="s">
        <v>287</v>
      </c>
      <c r="B45" s="15"/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7" t="s">
        <v>655</v>
      </c>
      <c r="B46" s="15"/>
      <c r="C46" s="16"/>
      <c r="D46" s="16" t="s">
        <v>656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 t="s">
        <v>237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sheetProtection/>
  <mergeCells count="24">
    <mergeCell ref="A34:C34"/>
    <mergeCell ref="A36:C36"/>
    <mergeCell ref="A37:C37"/>
    <mergeCell ref="A38:B38"/>
    <mergeCell ref="A39:C39"/>
    <mergeCell ref="D42:E42"/>
    <mergeCell ref="A26:C26"/>
    <mergeCell ref="A27:C27"/>
    <mergeCell ref="A28:C28"/>
    <mergeCell ref="A29:C29"/>
    <mergeCell ref="A30:C30"/>
    <mergeCell ref="A32:C32"/>
    <mergeCell ref="A20:C20"/>
    <mergeCell ref="A21:C21"/>
    <mergeCell ref="A22:C22"/>
    <mergeCell ref="A23:D23"/>
    <mergeCell ref="A24:C24"/>
    <mergeCell ref="A25:C25"/>
    <mergeCell ref="A6:E6"/>
    <mergeCell ref="A10:E10"/>
    <mergeCell ref="A14:A15"/>
    <mergeCell ref="C14:C15"/>
    <mergeCell ref="A17:C17"/>
    <mergeCell ref="A19:C1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E32" sqref="E32"/>
    </sheetView>
  </sheetViews>
  <sheetFormatPr defaultColWidth="12.75390625" defaultRowHeight="12.75"/>
  <cols>
    <col min="1" max="1" width="16.75390625" style="0" customWidth="1"/>
    <col min="2" max="2" width="20.00390625" style="0" customWidth="1"/>
    <col min="3" max="4" width="16.625" style="0" customWidth="1"/>
  </cols>
  <sheetData>
    <row r="1" spans="3:5" ht="12.75">
      <c r="C1" s="70" t="s">
        <v>251</v>
      </c>
      <c r="D1" s="70"/>
      <c r="E1" s="70"/>
    </row>
    <row r="2" spans="3:5" ht="12.75">
      <c r="C2" s="70" t="s">
        <v>382</v>
      </c>
      <c r="D2" s="70"/>
      <c r="E2" s="70"/>
    </row>
    <row r="3" spans="3:5" ht="12.75">
      <c r="C3" s="70" t="s">
        <v>205</v>
      </c>
      <c r="D3" s="70"/>
      <c r="E3" s="70"/>
    </row>
    <row r="6" spans="1:15" ht="22.5" customHeight="1">
      <c r="A6" s="134" t="s">
        <v>365</v>
      </c>
      <c r="B6" s="135"/>
      <c r="C6" s="135"/>
      <c r="D6" s="135"/>
      <c r="E6" s="135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237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403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36" t="s">
        <v>240</v>
      </c>
      <c r="B10" s="137"/>
      <c r="C10" s="137"/>
      <c r="D10" s="137"/>
      <c r="E10" s="138"/>
      <c r="F10" s="25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60" customFormat="1" ht="14.25">
      <c r="A12" s="58">
        <v>2670.9</v>
      </c>
      <c r="B12" s="59">
        <v>180.5</v>
      </c>
      <c r="C12" s="59">
        <v>433</v>
      </c>
      <c r="D12" s="59"/>
      <c r="E12" s="59">
        <v>1950</v>
      </c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45" t="s">
        <v>245</v>
      </c>
      <c r="B14" s="10" t="s">
        <v>404</v>
      </c>
      <c r="C14" s="147" t="s">
        <v>405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46"/>
      <c r="B15" s="10" t="s">
        <v>406</v>
      </c>
      <c r="C15" s="148"/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9" t="s">
        <v>234</v>
      </c>
      <c r="B17" s="140"/>
      <c r="C17" s="140"/>
      <c r="D17" s="47"/>
      <c r="E17" s="48" t="s">
        <v>238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1" t="s">
        <v>235</v>
      </c>
      <c r="B18" s="42"/>
      <c r="C18" s="42"/>
      <c r="D18" s="43"/>
      <c r="E18" s="24">
        <f>E20+E21+E22+E23</f>
        <v>32794.075800000006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1" t="s">
        <v>246</v>
      </c>
      <c r="B19" s="142"/>
      <c r="C19" s="142"/>
      <c r="D19" s="46"/>
      <c r="E19" s="2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31" t="s">
        <v>410</v>
      </c>
      <c r="B20" s="132"/>
      <c r="C20" s="132"/>
      <c r="D20" s="44"/>
      <c r="E20" s="45">
        <f>0.205*5800*1.75*1.203*12</f>
        <v>30037.707000000002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22" t="s">
        <v>8</v>
      </c>
      <c r="B21" s="123"/>
      <c r="C21" s="123"/>
      <c r="D21" s="21"/>
      <c r="E21" s="26">
        <f>0.012*A12*12</f>
        <v>384.6096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22" t="s">
        <v>411</v>
      </c>
      <c r="B22" s="123"/>
      <c r="C22" s="123"/>
      <c r="D22" s="21"/>
      <c r="E22" s="26">
        <f>0.014*A12*12</f>
        <v>448.7112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22" t="s">
        <v>9</v>
      </c>
      <c r="B23" s="123"/>
      <c r="C23" s="123"/>
      <c r="D23" s="133"/>
      <c r="E23" s="27">
        <f>0.06*A12*12</f>
        <v>1923.0479999999998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29" t="s">
        <v>236</v>
      </c>
      <c r="B24" s="130"/>
      <c r="C24" s="130"/>
      <c r="D24" s="21"/>
      <c r="E24" s="19">
        <f>E25+E26+E27+E28+E29+E30+E31</f>
        <v>67177.0236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22" t="s">
        <v>412</v>
      </c>
      <c r="B25" s="123"/>
      <c r="C25" s="123"/>
      <c r="D25" s="21"/>
      <c r="E25" s="26">
        <f>142*1.5*101.01</f>
        <v>21515.13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22" t="s">
        <v>413</v>
      </c>
      <c r="B26" s="123"/>
      <c r="C26" s="123"/>
      <c r="D26" s="21"/>
      <c r="E26" s="26">
        <f>142*1.5*35.02</f>
        <v>7459.26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22" t="s">
        <v>414</v>
      </c>
      <c r="B27" s="123"/>
      <c r="C27" s="123"/>
      <c r="D27" s="21"/>
      <c r="E27" s="27">
        <f>6300*2.73</f>
        <v>17199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22" t="s">
        <v>407</v>
      </c>
      <c r="B28" s="123"/>
      <c r="C28" s="123"/>
      <c r="D28" s="21"/>
      <c r="E28" s="26">
        <f>0.002*A12*12</f>
        <v>64.1016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22" t="s">
        <v>408</v>
      </c>
      <c r="B29" s="123"/>
      <c r="C29" s="123"/>
      <c r="D29" s="21"/>
      <c r="E29" s="26">
        <f>0.29*A12*12</f>
        <v>9294.732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22" t="s">
        <v>415</v>
      </c>
      <c r="B30" s="123"/>
      <c r="C30" s="123"/>
      <c r="D30" s="21"/>
      <c r="E30" s="27">
        <f>60*5.44+60*17.16*4</f>
        <v>4444.799999999999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8" t="s">
        <v>269</v>
      </c>
      <c r="B31" s="29" t="s">
        <v>416</v>
      </c>
      <c r="C31" s="29"/>
      <c r="D31" s="21"/>
      <c r="E31" s="6">
        <f>60*120</f>
        <v>7200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24" t="s">
        <v>252</v>
      </c>
      <c r="B32" s="125"/>
      <c r="C32" s="125"/>
      <c r="D32" s="30"/>
      <c r="E32" s="9">
        <v>136539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3" t="s">
        <v>265</v>
      </c>
      <c r="B33" s="54"/>
      <c r="C33" s="54" t="s">
        <v>10</v>
      </c>
      <c r="D33" s="30"/>
      <c r="E33" s="19">
        <f>0.81*A12*12</f>
        <v>25961.148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43" t="s">
        <v>396</v>
      </c>
      <c r="B34" s="144"/>
      <c r="C34" s="144"/>
      <c r="D34" s="30" t="s">
        <v>11</v>
      </c>
      <c r="E34" s="19">
        <f>1.63*A12*12</f>
        <v>52242.804000000004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6" t="s">
        <v>255</v>
      </c>
      <c r="B35" s="37"/>
      <c r="C35" s="37" t="s">
        <v>409</v>
      </c>
      <c r="D35" s="38"/>
      <c r="E35" s="9">
        <f>0.003*A12*12</f>
        <v>96.1524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18" t="s">
        <v>256</v>
      </c>
      <c r="B36" s="119"/>
      <c r="C36" s="119"/>
      <c r="D36" s="30"/>
      <c r="E36" s="9">
        <f>E35+E34+E33+E32+E24+E18</f>
        <v>314810.2038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20" t="s">
        <v>364</v>
      </c>
      <c r="B37" s="121"/>
      <c r="C37" s="121"/>
      <c r="D37" s="30"/>
      <c r="E37" s="20">
        <f>E36*0.06</f>
        <v>18888.612228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27" t="s">
        <v>544</v>
      </c>
      <c r="B38" s="128"/>
      <c r="C38" s="114"/>
      <c r="D38" s="30"/>
      <c r="E38" s="20">
        <f>(E36+E37)*0.01</f>
        <v>3336.9881602800006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18" t="s">
        <v>257</v>
      </c>
      <c r="B39" s="119"/>
      <c r="C39" s="119"/>
      <c r="D39" s="30"/>
      <c r="E39" s="9">
        <f>SUM(E36:E38)</f>
        <v>337035.80418828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8" t="s">
        <v>248</v>
      </c>
      <c r="B40" s="39"/>
      <c r="C40" s="40"/>
      <c r="D40" s="9"/>
      <c r="E40" s="56">
        <f>E39/A12/12</f>
        <v>10.515675246430042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1"/>
      <c r="B41" s="12"/>
      <c r="C41" s="13"/>
      <c r="D41" s="13"/>
      <c r="E41" s="102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1"/>
      <c r="B42" s="12"/>
      <c r="C42" s="14"/>
      <c r="D42" s="1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5"/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5"/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64" t="s">
        <v>286</v>
      </c>
      <c r="B45" s="15"/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 t="s">
        <v>237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sheetProtection/>
  <mergeCells count="23">
    <mergeCell ref="A17:C17"/>
    <mergeCell ref="A19:C19"/>
    <mergeCell ref="A20:C20"/>
    <mergeCell ref="A21:C21"/>
    <mergeCell ref="A6:E6"/>
    <mergeCell ref="A10:E10"/>
    <mergeCell ref="A14:A15"/>
    <mergeCell ref="C14:C15"/>
    <mergeCell ref="A26:C26"/>
    <mergeCell ref="A27:C27"/>
    <mergeCell ref="A28:C28"/>
    <mergeCell ref="A29:C29"/>
    <mergeCell ref="A22:C22"/>
    <mergeCell ref="A23:D23"/>
    <mergeCell ref="A24:C24"/>
    <mergeCell ref="A25:C25"/>
    <mergeCell ref="A37:C37"/>
    <mergeCell ref="A39:C39"/>
    <mergeCell ref="A38:B38"/>
    <mergeCell ref="A30:C30"/>
    <mergeCell ref="A32:C32"/>
    <mergeCell ref="A34:C34"/>
    <mergeCell ref="A36:C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E34" sqref="E34"/>
    </sheetView>
  </sheetViews>
  <sheetFormatPr defaultColWidth="12.75390625" defaultRowHeight="12.75"/>
  <cols>
    <col min="1" max="1" width="16.75390625" style="0" customWidth="1"/>
    <col min="2" max="2" width="20.00390625" style="0" customWidth="1"/>
    <col min="3" max="4" width="16.625" style="0" customWidth="1"/>
  </cols>
  <sheetData>
    <row r="1" spans="3:5" ht="12.75">
      <c r="C1" s="70" t="s">
        <v>251</v>
      </c>
      <c r="D1" s="70"/>
      <c r="E1" s="70"/>
    </row>
    <row r="2" spans="3:5" ht="12.75">
      <c r="C2" s="70" t="s">
        <v>382</v>
      </c>
      <c r="D2" s="70"/>
      <c r="E2" s="70"/>
    </row>
    <row r="3" spans="3:5" ht="15">
      <c r="C3" s="55" t="s">
        <v>205</v>
      </c>
      <c r="D3" s="70"/>
      <c r="E3" s="70"/>
    </row>
    <row r="6" spans="1:15" ht="22.5" customHeight="1">
      <c r="A6" s="134" t="s">
        <v>365</v>
      </c>
      <c r="B6" s="135"/>
      <c r="C6" s="135"/>
      <c r="D6" s="135"/>
      <c r="E6" s="135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237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36" t="s">
        <v>240</v>
      </c>
      <c r="B10" s="137"/>
      <c r="C10" s="137"/>
      <c r="D10" s="137"/>
      <c r="E10" s="138"/>
      <c r="F10" s="25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60" customFormat="1" ht="14.25">
      <c r="A12" s="58">
        <v>2644</v>
      </c>
      <c r="B12" s="59">
        <v>235.6</v>
      </c>
      <c r="C12" s="59">
        <v>1533.7</v>
      </c>
      <c r="D12" s="59"/>
      <c r="E12" s="59">
        <v>1186.1</v>
      </c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45" t="s">
        <v>245</v>
      </c>
      <c r="B14" s="10" t="s">
        <v>13</v>
      </c>
      <c r="C14" s="147" t="s">
        <v>14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46"/>
      <c r="B15" s="10" t="s">
        <v>15</v>
      </c>
      <c r="C15" s="148"/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9" t="s">
        <v>234</v>
      </c>
      <c r="B17" s="140"/>
      <c r="C17" s="140"/>
      <c r="D17" s="47"/>
      <c r="E17" s="48" t="s">
        <v>238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1" t="s">
        <v>235</v>
      </c>
      <c r="B18" s="42"/>
      <c r="C18" s="42"/>
      <c r="D18" s="43"/>
      <c r="E18" s="24">
        <f>E20+E21+E22+E23</f>
        <v>81852.324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1" t="s">
        <v>246</v>
      </c>
      <c r="B19" s="142"/>
      <c r="C19" s="142"/>
      <c r="D19" s="46"/>
      <c r="E19" s="2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31" t="s">
        <v>16</v>
      </c>
      <c r="B20" s="132"/>
      <c r="C20" s="132"/>
      <c r="D20" s="44"/>
      <c r="E20" s="45">
        <f>0.54*5800*1.75*1.203*12</f>
        <v>79123.716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22" t="s">
        <v>22</v>
      </c>
      <c r="B21" s="123"/>
      <c r="C21" s="123"/>
      <c r="D21" s="21"/>
      <c r="E21" s="26">
        <f>0.012*A12*12</f>
        <v>380.736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22" t="s">
        <v>23</v>
      </c>
      <c r="B22" s="123"/>
      <c r="C22" s="123"/>
      <c r="D22" s="21"/>
      <c r="E22" s="26">
        <f>0.014*A12*12</f>
        <v>444.192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22" t="s">
        <v>24</v>
      </c>
      <c r="B23" s="123"/>
      <c r="C23" s="123"/>
      <c r="D23" s="133"/>
      <c r="E23" s="27">
        <f>0.06*A12*12</f>
        <v>1903.6799999999998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29" t="s">
        <v>236</v>
      </c>
      <c r="B24" s="130"/>
      <c r="C24" s="130"/>
      <c r="D24" s="21"/>
      <c r="E24" s="19">
        <f>E25+E26+E27+E28+E30+E31+E32</f>
        <v>47291.591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22" t="s">
        <v>17</v>
      </c>
      <c r="B25" s="123"/>
      <c r="C25" s="123"/>
      <c r="D25" s="21"/>
      <c r="E25" s="26">
        <f>123*1.5*101.01</f>
        <v>18636.345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22" t="s">
        <v>18</v>
      </c>
      <c r="B26" s="123"/>
      <c r="C26" s="123"/>
      <c r="D26" s="21"/>
      <c r="E26" s="26">
        <f>123*1.5*35.02</f>
        <v>6461.1900000000005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22" t="s">
        <v>25</v>
      </c>
      <c r="B27" s="123"/>
      <c r="C27" s="123"/>
      <c r="D27" s="21"/>
      <c r="E27" s="27">
        <f>2900*2.73</f>
        <v>7917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22" t="s">
        <v>19</v>
      </c>
      <c r="B28" s="123"/>
      <c r="C28" s="123"/>
      <c r="D28" s="21"/>
      <c r="E28" s="26">
        <f>0.002*A12*12</f>
        <v>63.456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22" t="s">
        <v>5</v>
      </c>
      <c r="B29" s="123"/>
      <c r="C29" s="123"/>
      <c r="D29" s="21"/>
      <c r="E29" s="26">
        <f>1.44*832</f>
        <v>1198.08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22" t="s">
        <v>26</v>
      </c>
      <c r="B30" s="123"/>
      <c r="C30" s="123"/>
      <c r="D30" s="21"/>
      <c r="E30" s="26">
        <f>0.29*A12*12</f>
        <v>9201.119999999999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22" t="s">
        <v>20</v>
      </c>
      <c r="B31" s="123"/>
      <c r="C31" s="123"/>
      <c r="D31" s="21"/>
      <c r="E31" s="27">
        <f>64*6.08+64*18.06*4</f>
        <v>5012.48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28" t="s">
        <v>269</v>
      </c>
      <c r="B32" s="29" t="s">
        <v>268</v>
      </c>
      <c r="C32" s="29"/>
      <c r="D32" s="21"/>
      <c r="E32" s="6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124" t="s">
        <v>252</v>
      </c>
      <c r="B33" s="125"/>
      <c r="C33" s="125"/>
      <c r="D33" s="30"/>
      <c r="E33" s="9">
        <v>105100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53" t="s">
        <v>265</v>
      </c>
      <c r="B34" s="54"/>
      <c r="C34" s="54" t="s">
        <v>27</v>
      </c>
      <c r="D34" s="30"/>
      <c r="E34" s="19">
        <f>0.81*A12*12</f>
        <v>25699.680000000004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43" t="s">
        <v>396</v>
      </c>
      <c r="B35" s="144"/>
      <c r="C35" s="144"/>
      <c r="D35" s="30" t="s">
        <v>28</v>
      </c>
      <c r="E35" s="19">
        <f>1.63*A12*12</f>
        <v>51716.63999999999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16" t="s">
        <v>255</v>
      </c>
      <c r="B36" s="37"/>
      <c r="C36" s="37" t="s">
        <v>21</v>
      </c>
      <c r="D36" s="38"/>
      <c r="E36" s="9">
        <f>0.003*A12*12</f>
        <v>95.184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84" t="s">
        <v>256</v>
      </c>
      <c r="B37" s="185"/>
      <c r="C37" s="185"/>
      <c r="D37" s="30"/>
      <c r="E37" s="9">
        <f>E36+E35+E34+E33+E24+E18</f>
        <v>311755.419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82" t="s">
        <v>364</v>
      </c>
      <c r="B38" s="183"/>
      <c r="C38" s="183"/>
      <c r="D38" s="30"/>
      <c r="E38" s="20">
        <f>E37*0.06</f>
        <v>18705.325139999997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 customHeight="1">
      <c r="A39" s="127" t="s">
        <v>544</v>
      </c>
      <c r="B39" s="128"/>
      <c r="C39" s="117"/>
      <c r="D39" s="112"/>
      <c r="E39" s="20">
        <f>(E37+E38)*0.01</f>
        <v>3304.6074413999995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24" t="s">
        <v>257</v>
      </c>
      <c r="B40" s="125"/>
      <c r="C40" s="125"/>
      <c r="D40" s="30"/>
      <c r="E40" s="9">
        <f>SUM(E37:E39)</f>
        <v>333765.35158139997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8" t="s">
        <v>248</v>
      </c>
      <c r="B41" s="39"/>
      <c r="C41" s="40"/>
      <c r="D41" s="9"/>
      <c r="E41" s="113">
        <f>E40/A12/12</f>
        <v>10.519583698354765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1"/>
      <c r="B42" s="12"/>
      <c r="C42" s="13"/>
      <c r="D42" s="13"/>
      <c r="E42" s="102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1"/>
      <c r="B43" s="12"/>
      <c r="C43" s="14"/>
      <c r="D43" s="1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5"/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5"/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 t="s">
        <v>237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sheetProtection/>
  <mergeCells count="24">
    <mergeCell ref="A40:C40"/>
    <mergeCell ref="A29:C29"/>
    <mergeCell ref="A31:C31"/>
    <mergeCell ref="A33:C33"/>
    <mergeCell ref="A35:C35"/>
    <mergeCell ref="A37:C37"/>
    <mergeCell ref="A26:C26"/>
    <mergeCell ref="A27:C27"/>
    <mergeCell ref="A28:C28"/>
    <mergeCell ref="A30:C30"/>
    <mergeCell ref="A38:C38"/>
    <mergeCell ref="A39:B39"/>
    <mergeCell ref="A20:C20"/>
    <mergeCell ref="A21:C21"/>
    <mergeCell ref="A22:C22"/>
    <mergeCell ref="A23:D23"/>
    <mergeCell ref="A24:C24"/>
    <mergeCell ref="A25:C25"/>
    <mergeCell ref="A6:E6"/>
    <mergeCell ref="A10:E10"/>
    <mergeCell ref="A14:A15"/>
    <mergeCell ref="C14:C15"/>
    <mergeCell ref="A17:C17"/>
    <mergeCell ref="A19:C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39" sqref="A39:E39"/>
    </sheetView>
  </sheetViews>
  <sheetFormatPr defaultColWidth="12.75390625" defaultRowHeight="12.75"/>
  <cols>
    <col min="1" max="1" width="16.75390625" style="0" customWidth="1"/>
    <col min="2" max="2" width="20.00390625" style="0" customWidth="1"/>
    <col min="3" max="3" width="16.625" style="0" customWidth="1"/>
    <col min="4" max="4" width="12.25390625" style="0" customWidth="1"/>
  </cols>
  <sheetData>
    <row r="1" spans="3:5" ht="12.75">
      <c r="C1" s="70" t="s">
        <v>251</v>
      </c>
      <c r="D1" s="70"/>
      <c r="E1" s="70"/>
    </row>
    <row r="2" spans="3:5" ht="12.75">
      <c r="C2" s="70" t="s">
        <v>382</v>
      </c>
      <c r="D2" s="70"/>
      <c r="E2" s="70"/>
    </row>
    <row r="3" spans="3:5" ht="12.75">
      <c r="C3" s="70" t="s">
        <v>205</v>
      </c>
      <c r="D3" s="70"/>
      <c r="E3" s="70"/>
    </row>
    <row r="6" spans="1:14" ht="22.5" customHeight="1">
      <c r="A6" s="134" t="s">
        <v>365</v>
      </c>
      <c r="B6" s="135"/>
      <c r="C6" s="135"/>
      <c r="D6" s="135"/>
      <c r="E6" s="135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2" t="s">
        <v>237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4.25">
      <c r="A8" s="3" t="s">
        <v>441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 customHeight="1">
      <c r="A10" s="136" t="s">
        <v>240</v>
      </c>
      <c r="B10" s="137"/>
      <c r="C10" s="137"/>
      <c r="D10" s="137"/>
      <c r="E10" s="138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s="60" customFormat="1" ht="14.25">
      <c r="A12" s="58">
        <v>636.6</v>
      </c>
      <c r="B12" s="59"/>
      <c r="C12" s="59">
        <v>443.5</v>
      </c>
      <c r="D12" s="59"/>
      <c r="E12" s="59">
        <v>362.5</v>
      </c>
      <c r="F12" s="61"/>
      <c r="G12" s="61"/>
      <c r="H12" s="61"/>
      <c r="I12" s="61"/>
      <c r="J12" s="61"/>
      <c r="K12" s="61"/>
      <c r="L12" s="61"/>
      <c r="M12" s="61"/>
      <c r="N12" s="61"/>
    </row>
    <row r="13" spans="1:14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 customHeight="1">
      <c r="A14" s="145" t="s">
        <v>245</v>
      </c>
      <c r="B14" s="10" t="s">
        <v>442</v>
      </c>
      <c r="C14" s="147" t="s">
        <v>443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 customHeight="1">
      <c r="A15" s="146"/>
      <c r="B15" s="10" t="s">
        <v>444</v>
      </c>
      <c r="C15" s="148"/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7" customHeight="1">
      <c r="A17" s="139" t="s">
        <v>234</v>
      </c>
      <c r="B17" s="140"/>
      <c r="C17" s="140"/>
      <c r="D17" s="47"/>
      <c r="E17" s="48" t="s">
        <v>238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2.75" customHeight="1">
      <c r="A18" s="41" t="s">
        <v>235</v>
      </c>
      <c r="B18" s="42"/>
      <c r="C18" s="42"/>
      <c r="D18" s="43"/>
      <c r="E18" s="24">
        <f>E20+E21+E22+E23</f>
        <v>23514.933599999993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2.75" customHeight="1">
      <c r="A19" s="141" t="s">
        <v>246</v>
      </c>
      <c r="B19" s="142"/>
      <c r="C19" s="142"/>
      <c r="D19" s="46"/>
      <c r="E19" s="2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 customHeight="1">
      <c r="A20" s="131" t="s">
        <v>453</v>
      </c>
      <c r="B20" s="132"/>
      <c r="C20" s="132"/>
      <c r="D20" s="44"/>
      <c r="E20" s="45">
        <f>0.156*5800*1.75*1.203*12</f>
        <v>22857.962399999997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22" t="s">
        <v>579</v>
      </c>
      <c r="B21" s="123"/>
      <c r="C21" s="123"/>
      <c r="D21" s="21"/>
      <c r="E21" s="26">
        <f>0.012*A12*12</f>
        <v>91.6704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22" t="s">
        <v>454</v>
      </c>
      <c r="B22" s="123"/>
      <c r="C22" s="123"/>
      <c r="D22" s="21"/>
      <c r="E22" s="26">
        <f>0.014*A12*12</f>
        <v>106.9488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22" t="s">
        <v>455</v>
      </c>
      <c r="B23" s="123"/>
      <c r="C23" s="123"/>
      <c r="D23" s="133"/>
      <c r="E23" s="27">
        <f>0.06*A12*12</f>
        <v>458.352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129" t="s">
        <v>236</v>
      </c>
      <c r="B24" s="130"/>
      <c r="C24" s="130"/>
      <c r="D24" s="21"/>
      <c r="E24" s="19">
        <f>E25+E26+E27+E28+E30+E31+E32+E29</f>
        <v>11129.4274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2.75" customHeight="1">
      <c r="A25" s="122" t="s">
        <v>456</v>
      </c>
      <c r="B25" s="123"/>
      <c r="C25" s="123"/>
      <c r="D25" s="21"/>
      <c r="E25" s="26">
        <f>25*1.5*101.01</f>
        <v>3787.875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122" t="s">
        <v>457</v>
      </c>
      <c r="B26" s="123"/>
      <c r="C26" s="123"/>
      <c r="D26" s="21"/>
      <c r="E26" s="26">
        <f>25*1.5*35.02</f>
        <v>1313.2500000000002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22" t="s">
        <v>445</v>
      </c>
      <c r="B27" s="123"/>
      <c r="C27" s="123"/>
      <c r="D27" s="21"/>
      <c r="E27" s="27">
        <f>900*2.73</f>
        <v>2457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122" t="s">
        <v>446</v>
      </c>
      <c r="B28" s="123"/>
      <c r="C28" s="123"/>
      <c r="D28" s="21"/>
      <c r="E28" s="26">
        <f>0.002*A12*12</f>
        <v>15.278400000000001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122" t="s">
        <v>458</v>
      </c>
      <c r="B29" s="123"/>
      <c r="C29" s="123"/>
      <c r="D29" s="21"/>
      <c r="E29" s="26">
        <f>1.44*151.9</f>
        <v>218.736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12.75" customHeight="1">
      <c r="A30" s="122" t="s">
        <v>447</v>
      </c>
      <c r="B30" s="123"/>
      <c r="C30" s="123"/>
      <c r="D30" s="21"/>
      <c r="E30" s="26">
        <f>0.29*A12*12</f>
        <v>2215.368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ht="12.75" customHeight="1">
      <c r="A31" s="122" t="s">
        <v>213</v>
      </c>
      <c r="B31" s="123"/>
      <c r="C31" s="123"/>
      <c r="D31" s="21"/>
      <c r="E31" s="27">
        <f>16*5.44+16*16.17*4</f>
        <v>1121.92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12.75" customHeight="1">
      <c r="A32" s="28" t="s">
        <v>269</v>
      </c>
      <c r="B32" s="29"/>
      <c r="C32" s="29"/>
      <c r="D32" s="21"/>
      <c r="E32" s="6"/>
      <c r="F32" s="1"/>
      <c r="G32" s="1"/>
      <c r="H32" s="1"/>
      <c r="I32" s="1"/>
      <c r="J32" s="1"/>
      <c r="K32" s="1"/>
      <c r="L32" s="1"/>
      <c r="M32" s="1"/>
      <c r="N32" s="1"/>
    </row>
    <row r="33" spans="1:14" ht="12.75" customHeight="1">
      <c r="A33" s="124" t="s">
        <v>252</v>
      </c>
      <c r="B33" s="125"/>
      <c r="C33" s="125"/>
      <c r="D33" s="30"/>
      <c r="E33" s="9">
        <v>21750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53" t="s">
        <v>265</v>
      </c>
      <c r="B34" s="54"/>
      <c r="C34" s="54" t="s">
        <v>580</v>
      </c>
      <c r="D34" s="30"/>
      <c r="E34" s="19">
        <f>0.81*A12*12</f>
        <v>6187.752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3.5" customHeight="1">
      <c r="A35" s="143" t="s">
        <v>214</v>
      </c>
      <c r="B35" s="144"/>
      <c r="C35" s="144"/>
      <c r="D35" s="30" t="s">
        <v>581</v>
      </c>
      <c r="E35" s="19">
        <f>1.63*A12*12</f>
        <v>12451.895999999999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36" t="s">
        <v>215</v>
      </c>
      <c r="B36" s="37"/>
      <c r="C36" s="37" t="s">
        <v>216</v>
      </c>
      <c r="D36" s="38"/>
      <c r="E36" s="9">
        <v>22.61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2.75" customHeight="1">
      <c r="A37" s="118" t="s">
        <v>256</v>
      </c>
      <c r="B37" s="119"/>
      <c r="C37" s="119"/>
      <c r="D37" s="30"/>
      <c r="E37" s="9">
        <f>E36+E35+E34+E33+E24+E18</f>
        <v>75056.61899999999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2.75" customHeight="1">
      <c r="A38" s="120" t="s">
        <v>364</v>
      </c>
      <c r="B38" s="121"/>
      <c r="C38" s="121"/>
      <c r="D38" s="30"/>
      <c r="E38" s="20">
        <f>E37*0.06</f>
        <v>4503.397139999999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2.75" customHeight="1">
      <c r="A39" s="127" t="s">
        <v>544</v>
      </c>
      <c r="B39" s="128"/>
      <c r="C39" s="114"/>
      <c r="D39" s="30"/>
      <c r="E39" s="20">
        <f>(E37+E38)*0.01</f>
        <v>795.6001613999999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18" t="s">
        <v>257</v>
      </c>
      <c r="B40" s="119"/>
      <c r="C40" s="119"/>
      <c r="D40" s="30"/>
      <c r="E40" s="9">
        <f>SUM(E37:E39)</f>
        <v>80355.61630139999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8" t="s">
        <v>248</v>
      </c>
      <c r="B41" s="39"/>
      <c r="C41" s="40"/>
      <c r="D41" s="9"/>
      <c r="E41" s="56">
        <f>E40/A12/12</f>
        <v>10.518852275290605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1"/>
      <c r="B42" s="12"/>
      <c r="C42" s="13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1"/>
      <c r="B43" s="12"/>
      <c r="C43" s="14"/>
      <c r="D43" s="14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5"/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5"/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7"/>
      <c r="B46" s="15"/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 t="s">
        <v>237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24">
    <mergeCell ref="A17:C17"/>
    <mergeCell ref="A19:C19"/>
    <mergeCell ref="A20:C20"/>
    <mergeCell ref="A21:C21"/>
    <mergeCell ref="A6:E6"/>
    <mergeCell ref="A10:E10"/>
    <mergeCell ref="A14:A15"/>
    <mergeCell ref="C14:C15"/>
    <mergeCell ref="A26:C26"/>
    <mergeCell ref="A27:C27"/>
    <mergeCell ref="A28:C28"/>
    <mergeCell ref="A29:C29"/>
    <mergeCell ref="A22:C22"/>
    <mergeCell ref="A23:D23"/>
    <mergeCell ref="A24:C24"/>
    <mergeCell ref="A25:C25"/>
    <mergeCell ref="A37:C37"/>
    <mergeCell ref="A38:C38"/>
    <mergeCell ref="A40:C40"/>
    <mergeCell ref="A30:C30"/>
    <mergeCell ref="A31:C31"/>
    <mergeCell ref="A33:C33"/>
    <mergeCell ref="A35:C35"/>
    <mergeCell ref="A39:B39"/>
  </mergeCells>
  <printOptions/>
  <pageMargins left="0.75" right="0.3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E40" sqref="E40"/>
    </sheetView>
  </sheetViews>
  <sheetFormatPr defaultColWidth="12.75390625" defaultRowHeight="12.75"/>
  <cols>
    <col min="1" max="1" width="16.75390625" style="0" customWidth="1"/>
    <col min="2" max="2" width="20.00390625" style="0" customWidth="1"/>
    <col min="3" max="4" width="16.625" style="0" customWidth="1"/>
  </cols>
  <sheetData>
    <row r="1" spans="3:5" ht="12.75">
      <c r="C1" s="70" t="s">
        <v>251</v>
      </c>
      <c r="D1" s="70"/>
      <c r="E1" s="70"/>
    </row>
    <row r="2" spans="3:5" ht="12.75">
      <c r="C2" s="70" t="s">
        <v>382</v>
      </c>
      <c r="D2" s="70"/>
      <c r="E2" s="70"/>
    </row>
    <row r="3" spans="3:5" ht="15">
      <c r="C3" s="55" t="s">
        <v>205</v>
      </c>
      <c r="D3" s="70"/>
      <c r="E3" s="70"/>
    </row>
    <row r="6" spans="1:15" ht="22.5" customHeight="1">
      <c r="A6" s="134" t="s">
        <v>365</v>
      </c>
      <c r="B6" s="135"/>
      <c r="C6" s="135"/>
      <c r="D6" s="135"/>
      <c r="E6" s="135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237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29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36" t="s">
        <v>240</v>
      </c>
      <c r="B10" s="137"/>
      <c r="C10" s="137"/>
      <c r="D10" s="137"/>
      <c r="E10" s="138"/>
      <c r="F10" s="25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60" customFormat="1" ht="14.25">
      <c r="A12" s="58">
        <v>1611.4</v>
      </c>
      <c r="B12" s="59">
        <v>121</v>
      </c>
      <c r="C12" s="59">
        <v>607.7</v>
      </c>
      <c r="D12" s="59"/>
      <c r="E12" s="59">
        <v>1066.6</v>
      </c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45" t="s">
        <v>245</v>
      </c>
      <c r="B14" s="10" t="s">
        <v>30</v>
      </c>
      <c r="C14" s="147" t="s">
        <v>31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46"/>
      <c r="B15" s="10" t="s">
        <v>32</v>
      </c>
      <c r="C15" s="148"/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9" t="s">
        <v>234</v>
      </c>
      <c r="B17" s="140"/>
      <c r="C17" s="140"/>
      <c r="D17" s="47"/>
      <c r="E17" s="48" t="s">
        <v>238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1" t="s">
        <v>235</v>
      </c>
      <c r="B18" s="42"/>
      <c r="C18" s="42"/>
      <c r="D18" s="43"/>
      <c r="E18" s="24">
        <f>E20+E21+E22+E23</f>
        <v>36389.48459999999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1" t="s">
        <v>246</v>
      </c>
      <c r="B19" s="142"/>
      <c r="C19" s="142"/>
      <c r="D19" s="46"/>
      <c r="E19" s="2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31" t="s">
        <v>33</v>
      </c>
      <c r="B20" s="132"/>
      <c r="C20" s="132"/>
      <c r="D20" s="44"/>
      <c r="E20" s="45">
        <f>0.237*5800*1.75*1.203*12</f>
        <v>34726.519799999995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22" t="s">
        <v>37</v>
      </c>
      <c r="B21" s="123"/>
      <c r="C21" s="123"/>
      <c r="D21" s="21"/>
      <c r="E21" s="26">
        <f>0.012*A12*12</f>
        <v>232.04160000000002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22" t="s">
        <v>38</v>
      </c>
      <c r="B22" s="123"/>
      <c r="C22" s="123"/>
      <c r="D22" s="21"/>
      <c r="E22" s="26">
        <f>0.014*A12*12</f>
        <v>270.71520000000004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22" t="s">
        <v>39</v>
      </c>
      <c r="B23" s="123"/>
      <c r="C23" s="123"/>
      <c r="D23" s="133"/>
      <c r="E23" s="27">
        <f>0.06*A12*12</f>
        <v>1160.208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29" t="s">
        <v>236</v>
      </c>
      <c r="B24" s="130"/>
      <c r="C24" s="130"/>
      <c r="D24" s="21"/>
      <c r="E24" s="19">
        <f>E25+E26+E27+E28+E29+E30+E31</f>
        <v>33393.925599999995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22" t="s">
        <v>34</v>
      </c>
      <c r="B25" s="123"/>
      <c r="C25" s="123"/>
      <c r="D25" s="21"/>
      <c r="E25" s="26">
        <f>84*1.5*101.01</f>
        <v>12727.26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22" t="s">
        <v>40</v>
      </c>
      <c r="B26" s="123"/>
      <c r="C26" s="123"/>
      <c r="D26" s="21"/>
      <c r="E26" s="26">
        <f>84*1.5*35.02</f>
        <v>4412.52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22" t="s">
        <v>41</v>
      </c>
      <c r="B27" s="123"/>
      <c r="C27" s="123"/>
      <c r="D27" s="21"/>
      <c r="E27" s="27">
        <f>2700*2.89</f>
        <v>7803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22" t="s">
        <v>35</v>
      </c>
      <c r="B28" s="123"/>
      <c r="C28" s="123"/>
      <c r="D28" s="21"/>
      <c r="E28" s="26">
        <f>0.002*A12*12</f>
        <v>38.67360000000001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22" t="s">
        <v>42</v>
      </c>
      <c r="B29" s="123"/>
      <c r="C29" s="123"/>
      <c r="D29" s="21"/>
      <c r="E29" s="26">
        <f>0.29*A12*12</f>
        <v>5607.672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22" t="s">
        <v>219</v>
      </c>
      <c r="B30" s="123"/>
      <c r="C30" s="123"/>
      <c r="D30" s="21"/>
      <c r="E30" s="27">
        <f>40*5.44+40*16.17*4</f>
        <v>2804.8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8" t="s">
        <v>269</v>
      </c>
      <c r="B31" s="29" t="s">
        <v>268</v>
      </c>
      <c r="C31" s="29"/>
      <c r="D31" s="21"/>
      <c r="E31" s="6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24" t="s">
        <v>252</v>
      </c>
      <c r="B32" s="125"/>
      <c r="C32" s="125"/>
      <c r="D32" s="30"/>
      <c r="E32" s="9">
        <v>73570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3" t="s">
        <v>265</v>
      </c>
      <c r="B33" s="54"/>
      <c r="C33" s="54" t="s">
        <v>43</v>
      </c>
      <c r="D33" s="30"/>
      <c r="E33" s="19">
        <f>0.78*A12*12</f>
        <v>15082.704000000002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43" t="s">
        <v>396</v>
      </c>
      <c r="B34" s="144"/>
      <c r="C34" s="144"/>
      <c r="D34" s="30" t="s">
        <v>44</v>
      </c>
      <c r="E34" s="19">
        <f>1.63*A12*12</f>
        <v>31518.983999999997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6" t="s">
        <v>255</v>
      </c>
      <c r="B35" s="37"/>
      <c r="C35" s="37" t="s">
        <v>36</v>
      </c>
      <c r="D35" s="38"/>
      <c r="E35" s="9">
        <f>0.003*A12*12</f>
        <v>58.010400000000004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18" t="s">
        <v>256</v>
      </c>
      <c r="B36" s="119"/>
      <c r="C36" s="119"/>
      <c r="D36" s="30"/>
      <c r="E36" s="9">
        <f>E35+E34+E33+E32+E24+E18</f>
        <v>190013.10859999998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20" t="s">
        <v>364</v>
      </c>
      <c r="B37" s="121"/>
      <c r="C37" s="121"/>
      <c r="D37" s="30"/>
      <c r="E37" s="20">
        <f>E36*0.06</f>
        <v>11400.786515999998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86" t="s">
        <v>544</v>
      </c>
      <c r="B38" s="187"/>
      <c r="C38" s="114"/>
      <c r="D38" s="112"/>
      <c r="E38" s="20">
        <f>(E36+E37)*0.01</f>
        <v>2014.1389511599998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18" t="s">
        <v>257</v>
      </c>
      <c r="B39" s="119"/>
      <c r="C39" s="119"/>
      <c r="D39" s="30"/>
      <c r="E39" s="9">
        <f>SUM(E36:E38)</f>
        <v>203428.03406715998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8" t="s">
        <v>248</v>
      </c>
      <c r="B40" s="39"/>
      <c r="C40" s="40"/>
      <c r="D40" s="9"/>
      <c r="E40" s="113">
        <f>E39/A12/12</f>
        <v>10.520253302881551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1"/>
      <c r="B41" s="12"/>
      <c r="C41" s="13"/>
      <c r="D41" s="13"/>
      <c r="E41" s="102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1"/>
      <c r="B42" s="12"/>
      <c r="C42" s="14"/>
      <c r="D42" s="1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5"/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5"/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64" t="s">
        <v>286</v>
      </c>
      <c r="B45" s="15"/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 t="s">
        <v>237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sheetProtection/>
  <mergeCells count="23">
    <mergeCell ref="A39:C39"/>
    <mergeCell ref="A30:C30"/>
    <mergeCell ref="A32:C32"/>
    <mergeCell ref="A34:C34"/>
    <mergeCell ref="A36:C36"/>
    <mergeCell ref="A26:C26"/>
    <mergeCell ref="A27:C27"/>
    <mergeCell ref="A28:C28"/>
    <mergeCell ref="A29:C29"/>
    <mergeCell ref="A37:C37"/>
    <mergeCell ref="A38:B38"/>
    <mergeCell ref="A20:C20"/>
    <mergeCell ref="A21:C21"/>
    <mergeCell ref="A22:C22"/>
    <mergeCell ref="A23:D23"/>
    <mergeCell ref="A24:C24"/>
    <mergeCell ref="A25:C25"/>
    <mergeCell ref="A6:E6"/>
    <mergeCell ref="A10:E10"/>
    <mergeCell ref="A14:A15"/>
    <mergeCell ref="C14:C15"/>
    <mergeCell ref="A17:C17"/>
    <mergeCell ref="A19:C19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E34" sqref="E34"/>
    </sheetView>
  </sheetViews>
  <sheetFormatPr defaultColWidth="12.75390625" defaultRowHeight="12.75"/>
  <cols>
    <col min="1" max="1" width="16.75390625" style="0" customWidth="1"/>
    <col min="2" max="2" width="20.00390625" style="0" customWidth="1"/>
    <col min="3" max="4" width="16.625" style="0" customWidth="1"/>
  </cols>
  <sheetData>
    <row r="1" spans="3:4" ht="15">
      <c r="C1" s="55" t="s">
        <v>251</v>
      </c>
      <c r="D1" s="55"/>
    </row>
    <row r="2" spans="3:4" ht="15">
      <c r="C2" s="55" t="s">
        <v>284</v>
      </c>
      <c r="D2" s="55"/>
    </row>
    <row r="3" spans="3:4" ht="15">
      <c r="C3" s="55" t="s">
        <v>205</v>
      </c>
      <c r="D3" s="55"/>
    </row>
    <row r="6" spans="1:15" ht="22.5" customHeight="1">
      <c r="A6" s="134" t="s">
        <v>365</v>
      </c>
      <c r="B6" s="135"/>
      <c r="C6" s="135"/>
      <c r="D6" s="135"/>
      <c r="E6" s="135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237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271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36" t="s">
        <v>240</v>
      </c>
      <c r="B10" s="137"/>
      <c r="C10" s="137"/>
      <c r="D10" s="137"/>
      <c r="E10" s="138"/>
      <c r="F10" s="25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60" customFormat="1" ht="14.25">
      <c r="A12" s="58">
        <v>2351.2</v>
      </c>
      <c r="B12" s="59">
        <v>237.2</v>
      </c>
      <c r="C12" s="59">
        <v>763.9</v>
      </c>
      <c r="D12" s="59"/>
      <c r="E12" s="59">
        <v>1123.3</v>
      </c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45" t="s">
        <v>245</v>
      </c>
      <c r="B14" s="10" t="s">
        <v>272</v>
      </c>
      <c r="C14" s="147" t="s">
        <v>274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46"/>
      <c r="B15" s="10" t="s">
        <v>273</v>
      </c>
      <c r="C15" s="148"/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9" t="s">
        <v>234</v>
      </c>
      <c r="B17" s="140"/>
      <c r="C17" s="140"/>
      <c r="D17" s="47"/>
      <c r="E17" s="48" t="s">
        <v>238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1" t="s">
        <v>235</v>
      </c>
      <c r="B18" s="42"/>
      <c r="C18" s="42"/>
      <c r="D18" s="43"/>
      <c r="E18" s="24">
        <f>E20+E21+E22+E23</f>
        <v>47397.796800000004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1" t="s">
        <v>246</v>
      </c>
      <c r="B19" s="142"/>
      <c r="C19" s="142"/>
      <c r="D19" s="46"/>
      <c r="E19" s="2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31" t="s">
        <v>0</v>
      </c>
      <c r="B20" s="132"/>
      <c r="C20" s="132"/>
      <c r="D20" s="44"/>
      <c r="E20" s="45">
        <v>44576.36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22" t="s">
        <v>1</v>
      </c>
      <c r="B21" s="123"/>
      <c r="C21" s="123"/>
      <c r="D21" s="21"/>
      <c r="E21" s="26">
        <f>A12*0.012*12</f>
        <v>338.5728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22" t="s">
        <v>2</v>
      </c>
      <c r="B22" s="123"/>
      <c r="C22" s="123"/>
      <c r="D22" s="21"/>
      <c r="E22" s="26">
        <v>790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22" t="s">
        <v>3</v>
      </c>
      <c r="B23" s="123"/>
      <c r="C23" s="123"/>
      <c r="D23" s="133"/>
      <c r="E23" s="27">
        <f>A12*0.06*12</f>
        <v>1692.8639999999996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29" t="s">
        <v>236</v>
      </c>
      <c r="B24" s="130"/>
      <c r="C24" s="130"/>
      <c r="D24" s="21"/>
      <c r="E24" s="19">
        <f>E25+E26+E27+E28+E30+E31+E32+E29</f>
        <v>47732.76500000001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22" t="s">
        <v>4</v>
      </c>
      <c r="B25" s="123"/>
      <c r="C25" s="123"/>
      <c r="D25" s="21"/>
      <c r="E25" s="26">
        <f>95*1.5*101.01</f>
        <v>14393.925000000001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22" t="s">
        <v>217</v>
      </c>
      <c r="B26" s="123"/>
      <c r="C26" s="123"/>
      <c r="D26" s="21"/>
      <c r="E26" s="26">
        <f>95*1.5*35.02</f>
        <v>4990.35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22" t="s">
        <v>218</v>
      </c>
      <c r="B27" s="123"/>
      <c r="C27" s="123"/>
      <c r="D27" s="21"/>
      <c r="E27" s="27">
        <v>16107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22" t="s">
        <v>267</v>
      </c>
      <c r="B28" s="123"/>
      <c r="C28" s="123"/>
      <c r="D28" s="21"/>
      <c r="E28" s="26">
        <v>56.43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22" t="s">
        <v>5</v>
      </c>
      <c r="B29" s="123"/>
      <c r="C29" s="123"/>
      <c r="D29" s="21"/>
      <c r="E29" s="26">
        <f>1.44*832</f>
        <v>1198.08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22" t="s">
        <v>275</v>
      </c>
      <c r="B30" s="123"/>
      <c r="C30" s="123"/>
      <c r="D30" s="21"/>
      <c r="E30" s="26">
        <v>8182.18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22" t="s">
        <v>219</v>
      </c>
      <c r="B31" s="123"/>
      <c r="C31" s="123"/>
      <c r="D31" s="21"/>
      <c r="E31" s="27">
        <v>2804.8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28" t="s">
        <v>269</v>
      </c>
      <c r="B32" s="29" t="s">
        <v>268</v>
      </c>
      <c r="C32" s="29"/>
      <c r="D32" s="21"/>
      <c r="E32" s="6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124" t="s">
        <v>252</v>
      </c>
      <c r="B33" s="125"/>
      <c r="C33" s="125"/>
      <c r="D33" s="30"/>
      <c r="E33" s="9">
        <v>101460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53" t="s">
        <v>265</v>
      </c>
      <c r="B34" s="54"/>
      <c r="C34" s="54" t="s">
        <v>6</v>
      </c>
      <c r="D34" s="30"/>
      <c r="E34" s="19">
        <f>0.81*A12*12</f>
        <v>22853.664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43" t="s">
        <v>214</v>
      </c>
      <c r="B35" s="144"/>
      <c r="C35" s="144"/>
      <c r="D35" s="30" t="s">
        <v>7</v>
      </c>
      <c r="E35" s="19">
        <f>1.63*A12*12</f>
        <v>45989.471999999994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36" t="s">
        <v>215</v>
      </c>
      <c r="B36" s="37"/>
      <c r="C36" s="37" t="s">
        <v>276</v>
      </c>
      <c r="D36" s="38"/>
      <c r="E36" s="9">
        <v>84.64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18" t="s">
        <v>335</v>
      </c>
      <c r="B37" s="119"/>
      <c r="C37" s="119"/>
      <c r="D37" s="30"/>
      <c r="E37" s="9">
        <f>E36+E35+E34+E33+E24+E18</f>
        <v>265518.33780000004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20" t="s">
        <v>364</v>
      </c>
      <c r="B38" s="121"/>
      <c r="C38" s="121"/>
      <c r="D38" s="30"/>
      <c r="E38" s="20">
        <f>E37*0.06</f>
        <v>15931.100268000002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 customHeight="1">
      <c r="A39" s="127" t="s">
        <v>544</v>
      </c>
      <c r="B39" s="128"/>
      <c r="C39" s="114"/>
      <c r="D39" s="30"/>
      <c r="E39" s="20">
        <f>(E37+E38)*0.01</f>
        <v>2814.49438068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18" t="s">
        <v>257</v>
      </c>
      <c r="B40" s="119"/>
      <c r="C40" s="119"/>
      <c r="D40" s="30"/>
      <c r="E40" s="9">
        <f>SUM(E37:E39)</f>
        <v>284263.93244868005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8" t="s">
        <v>248</v>
      </c>
      <c r="B41" s="39"/>
      <c r="C41" s="40"/>
      <c r="D41" s="9"/>
      <c r="E41" s="56">
        <f>E40/A12/12</f>
        <v>10.075136541931782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1"/>
      <c r="B42" s="12"/>
      <c r="C42" s="13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1"/>
      <c r="B43" s="12"/>
      <c r="C43" s="14"/>
      <c r="D43" s="1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5"/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5"/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64" t="s">
        <v>286</v>
      </c>
      <c r="B46" s="15"/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 t="s">
        <v>237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sheetProtection/>
  <mergeCells count="24">
    <mergeCell ref="A38:C38"/>
    <mergeCell ref="A40:C40"/>
    <mergeCell ref="A35:C35"/>
    <mergeCell ref="A39:B39"/>
    <mergeCell ref="A26:C26"/>
    <mergeCell ref="A27:C27"/>
    <mergeCell ref="A28:C28"/>
    <mergeCell ref="A29:C29"/>
    <mergeCell ref="A33:C33"/>
    <mergeCell ref="A37:C37"/>
    <mergeCell ref="A30:C30"/>
    <mergeCell ref="A31:C31"/>
    <mergeCell ref="A20:C20"/>
    <mergeCell ref="A21:C21"/>
    <mergeCell ref="A22:C22"/>
    <mergeCell ref="A23:D23"/>
    <mergeCell ref="A24:C24"/>
    <mergeCell ref="A25:C25"/>
    <mergeCell ref="A6:E6"/>
    <mergeCell ref="A10:E10"/>
    <mergeCell ref="A14:A15"/>
    <mergeCell ref="C14:C15"/>
    <mergeCell ref="A17:C17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40" sqref="A40:E40"/>
    </sheetView>
  </sheetViews>
  <sheetFormatPr defaultColWidth="9.00390625" defaultRowHeight="12.75"/>
  <cols>
    <col min="1" max="1" width="18.00390625" style="70" customWidth="1"/>
    <col min="2" max="2" width="18.375" style="70" customWidth="1"/>
    <col min="3" max="3" width="16.00390625" style="70" customWidth="1"/>
    <col min="4" max="4" width="15.125" style="70" customWidth="1"/>
    <col min="5" max="5" width="13.625" style="70" customWidth="1"/>
    <col min="6" max="16384" width="9.125" style="70" customWidth="1"/>
  </cols>
  <sheetData>
    <row r="1" ht="12.75">
      <c r="C1" s="70" t="s">
        <v>251</v>
      </c>
    </row>
    <row r="2" ht="12.75">
      <c r="C2" s="70" t="s">
        <v>382</v>
      </c>
    </row>
    <row r="3" spans="1:5" ht="15">
      <c r="A3"/>
      <c r="B3"/>
      <c r="C3" s="55" t="s">
        <v>205</v>
      </c>
      <c r="D3" s="55"/>
      <c r="E3"/>
    </row>
    <row r="4" spans="1:5" ht="12.75">
      <c r="A4"/>
      <c r="B4"/>
      <c r="C4"/>
      <c r="D4"/>
      <c r="E4"/>
    </row>
    <row r="5" spans="1:5" ht="12.75">
      <c r="A5"/>
      <c r="B5"/>
      <c r="C5"/>
      <c r="D5"/>
      <c r="E5"/>
    </row>
    <row r="6" spans="1:5" ht="15.75" customHeight="1">
      <c r="A6" s="134" t="s">
        <v>365</v>
      </c>
      <c r="B6" s="135"/>
      <c r="C6" s="135"/>
      <c r="D6" s="135"/>
      <c r="E6" s="135"/>
    </row>
    <row r="7" spans="1:5" ht="15.75">
      <c r="A7" s="2" t="s">
        <v>237</v>
      </c>
      <c r="B7" s="2"/>
      <c r="C7" s="1"/>
      <c r="D7" s="1"/>
      <c r="E7" s="1"/>
    </row>
    <row r="8" spans="1:5" ht="15">
      <c r="A8" s="95" t="s">
        <v>45</v>
      </c>
      <c r="B8" s="52"/>
      <c r="C8" s="52"/>
      <c r="D8" s="52"/>
      <c r="E8" s="52"/>
    </row>
    <row r="9" spans="1:5" ht="15">
      <c r="A9" s="95"/>
      <c r="B9" s="52"/>
      <c r="C9" s="52"/>
      <c r="D9" s="52"/>
      <c r="E9" s="52"/>
    </row>
    <row r="10" spans="1:5" ht="12.75">
      <c r="A10" s="154" t="s">
        <v>240</v>
      </c>
      <c r="B10" s="155"/>
      <c r="C10" s="155"/>
      <c r="D10" s="155"/>
      <c r="E10" s="156"/>
    </row>
    <row r="11" spans="1: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</row>
    <row r="12" spans="1:5" ht="17.25" customHeight="1">
      <c r="A12" s="73">
        <v>3186.2</v>
      </c>
      <c r="B12" s="74">
        <v>487.7</v>
      </c>
      <c r="C12" s="74">
        <v>1044</v>
      </c>
      <c r="D12" s="74"/>
      <c r="E12" s="74">
        <v>2004</v>
      </c>
    </row>
    <row r="13" spans="1:5" ht="12.75">
      <c r="A13" s="4"/>
      <c r="B13" s="52"/>
      <c r="C13" s="52"/>
      <c r="D13" s="52"/>
      <c r="E13" s="52"/>
    </row>
    <row r="14" spans="1:5" ht="12.75">
      <c r="A14" s="157" t="s">
        <v>245</v>
      </c>
      <c r="B14" s="10" t="s">
        <v>46</v>
      </c>
      <c r="C14" s="147" t="s">
        <v>47</v>
      </c>
      <c r="D14" s="22"/>
      <c r="E14" s="52"/>
    </row>
    <row r="15" spans="1:5" ht="12.75">
      <c r="A15" s="158"/>
      <c r="B15" s="10" t="s">
        <v>48</v>
      </c>
      <c r="C15" s="148"/>
      <c r="D15" s="103"/>
      <c r="E15" s="52"/>
    </row>
    <row r="16" spans="1:5" ht="12.75">
      <c r="A16" s="115"/>
      <c r="B16" s="66"/>
      <c r="C16" s="22"/>
      <c r="D16" s="103"/>
      <c r="E16" s="52"/>
    </row>
    <row r="17" spans="1:5" ht="12.75">
      <c r="A17" s="4"/>
      <c r="B17" s="52"/>
      <c r="C17" s="52"/>
      <c r="D17" s="52"/>
      <c r="E17" s="52"/>
    </row>
    <row r="18" spans="1:5" ht="12.75">
      <c r="A18" s="159" t="s">
        <v>234</v>
      </c>
      <c r="B18" s="160"/>
      <c r="C18" s="160"/>
      <c r="D18" s="47"/>
      <c r="E18" s="76" t="s">
        <v>238</v>
      </c>
    </row>
    <row r="19" spans="1:5" ht="12.75">
      <c r="A19" s="77" t="s">
        <v>235</v>
      </c>
      <c r="B19" s="78"/>
      <c r="C19" s="78"/>
      <c r="D19" s="79"/>
      <c r="E19" s="80">
        <f>E21+E22+E23+E24</f>
        <v>53985.946800000005</v>
      </c>
    </row>
    <row r="20" spans="1:5" ht="12.75">
      <c r="A20" s="161" t="s">
        <v>246</v>
      </c>
      <c r="B20" s="162"/>
      <c r="C20" s="162"/>
      <c r="D20" s="107"/>
      <c r="E20" s="108"/>
    </row>
    <row r="21" spans="1:5" ht="12.75">
      <c r="A21" s="163" t="s">
        <v>49</v>
      </c>
      <c r="B21" s="164"/>
      <c r="C21" s="164"/>
      <c r="D21" s="109"/>
      <c r="E21" s="45">
        <f>0.346*5800*1.75*1.203*12</f>
        <v>50697.788400000005</v>
      </c>
    </row>
    <row r="22" spans="1:5" ht="12.75" customHeight="1">
      <c r="A22" s="122" t="s">
        <v>53</v>
      </c>
      <c r="B22" s="123"/>
      <c r="C22" s="123"/>
      <c r="D22" s="21"/>
      <c r="E22" s="26">
        <f>0.012*A12*12</f>
        <v>458.81280000000004</v>
      </c>
    </row>
    <row r="23" spans="1:5" ht="12.75" customHeight="1">
      <c r="A23" s="122" t="s">
        <v>54</v>
      </c>
      <c r="B23" s="123"/>
      <c r="C23" s="123"/>
      <c r="D23" s="21"/>
      <c r="E23" s="26">
        <f>0.014*A12*12</f>
        <v>535.2816</v>
      </c>
    </row>
    <row r="24" spans="1:5" ht="12.75" customHeight="1">
      <c r="A24" s="122" t="s">
        <v>55</v>
      </c>
      <c r="B24" s="123"/>
      <c r="C24" s="123"/>
      <c r="D24" s="133"/>
      <c r="E24" s="27">
        <f>0.06*A12*12</f>
        <v>2294.0639999999994</v>
      </c>
    </row>
    <row r="25" spans="1:5" ht="12.75">
      <c r="A25" s="165" t="s">
        <v>236</v>
      </c>
      <c r="B25" s="166"/>
      <c r="C25" s="166"/>
      <c r="D25" s="108"/>
      <c r="E25" s="19">
        <f>E26+E27+E28+E29+E31+E32+E33+E30</f>
        <v>79026.91979999999</v>
      </c>
    </row>
    <row r="26" spans="1:5" ht="12.75">
      <c r="A26" s="167" t="s">
        <v>50</v>
      </c>
      <c r="B26" s="168"/>
      <c r="C26" s="168"/>
      <c r="D26" s="108"/>
      <c r="E26" s="26">
        <f>95*1.5*101.01</f>
        <v>14393.925000000001</v>
      </c>
    </row>
    <row r="27" spans="1:5" ht="12.75">
      <c r="A27" s="167" t="s">
        <v>56</v>
      </c>
      <c r="B27" s="168"/>
      <c r="C27" s="168"/>
      <c r="D27" s="108"/>
      <c r="E27" s="26">
        <f>95*1.5*35.02</f>
        <v>4990.35</v>
      </c>
    </row>
    <row r="28" spans="1:5" ht="12.75">
      <c r="A28" s="167" t="s">
        <v>57</v>
      </c>
      <c r="B28" s="168"/>
      <c r="C28" s="168"/>
      <c r="D28" s="108"/>
      <c r="E28" s="27">
        <f>17100*2.73</f>
        <v>46683</v>
      </c>
    </row>
    <row r="29" spans="1:5" ht="12.75">
      <c r="A29" s="167" t="s">
        <v>51</v>
      </c>
      <c r="B29" s="168"/>
      <c r="C29" s="168"/>
      <c r="D29" s="108"/>
      <c r="E29" s="26">
        <f>0.002*A12*12</f>
        <v>76.4688</v>
      </c>
    </row>
    <row r="30" spans="1:5" ht="12.75">
      <c r="A30" s="122" t="s">
        <v>58</v>
      </c>
      <c r="B30" s="123"/>
      <c r="C30" s="123"/>
      <c r="D30" s="108"/>
      <c r="E30" s="26">
        <f>1.44*1020</f>
        <v>1468.8</v>
      </c>
    </row>
    <row r="31" spans="1:5" ht="12.75">
      <c r="A31" s="167" t="s">
        <v>59</v>
      </c>
      <c r="B31" s="168"/>
      <c r="C31" s="168"/>
      <c r="D31" s="108"/>
      <c r="E31" s="26">
        <f>0.29*A12*12</f>
        <v>11087.975999999999</v>
      </c>
    </row>
    <row r="32" spans="1:5" ht="12.75">
      <c r="A32" s="167" t="s">
        <v>222</v>
      </c>
      <c r="B32" s="168"/>
      <c r="C32" s="168"/>
      <c r="D32" s="108"/>
      <c r="E32" s="27">
        <f>60*5.44</f>
        <v>326.40000000000003</v>
      </c>
    </row>
    <row r="33" spans="1:5" ht="15" customHeight="1">
      <c r="A33" s="84" t="s">
        <v>269</v>
      </c>
      <c r="B33" s="85"/>
      <c r="C33" s="85"/>
      <c r="D33" s="108"/>
      <c r="E33" s="6"/>
    </row>
    <row r="34" spans="1:5" ht="16.5" customHeight="1">
      <c r="A34" s="124" t="s">
        <v>252</v>
      </c>
      <c r="B34" s="125"/>
      <c r="C34" s="125"/>
      <c r="D34" s="96"/>
      <c r="E34" s="97">
        <v>149270</v>
      </c>
    </row>
    <row r="35" spans="1:5" ht="12.75" customHeight="1">
      <c r="A35" s="31" t="s">
        <v>253</v>
      </c>
      <c r="B35" s="126" t="s">
        <v>60</v>
      </c>
      <c r="C35" s="126"/>
      <c r="D35" s="30"/>
      <c r="E35" s="9">
        <f>0.81*A12*12</f>
        <v>30969.864</v>
      </c>
    </row>
    <row r="36" spans="1:5" ht="12.75">
      <c r="A36" s="32" t="s">
        <v>254</v>
      </c>
      <c r="B36" s="33"/>
      <c r="C36" s="34" t="s">
        <v>61</v>
      </c>
      <c r="D36" s="35"/>
      <c r="E36" s="19">
        <f>1.63*A12*12</f>
        <v>62322.07199999999</v>
      </c>
    </row>
    <row r="37" spans="1:5" ht="12.75">
      <c r="A37" s="89" t="s">
        <v>255</v>
      </c>
      <c r="B37" s="110"/>
      <c r="C37" s="110" t="s">
        <v>52</v>
      </c>
      <c r="D37" s="111"/>
      <c r="E37" s="9">
        <f>0.003*A12*12</f>
        <v>114.70320000000001</v>
      </c>
    </row>
    <row r="38" spans="1:5" ht="12.75">
      <c r="A38" s="172" t="s">
        <v>256</v>
      </c>
      <c r="B38" s="173"/>
      <c r="C38" s="173"/>
      <c r="D38" s="112"/>
      <c r="E38" s="9">
        <f>E37+E36+E35+E25+E19+E34</f>
        <v>375689.50580000004</v>
      </c>
    </row>
    <row r="39" spans="1:5" ht="12.75" customHeight="1">
      <c r="A39" s="120" t="s">
        <v>364</v>
      </c>
      <c r="B39" s="121"/>
      <c r="C39" s="121"/>
      <c r="D39" s="112"/>
      <c r="E39" s="20">
        <f>E38*0.06</f>
        <v>22541.370348</v>
      </c>
    </row>
    <row r="40" spans="1:5" ht="12.75" customHeight="1">
      <c r="A40" s="127" t="s">
        <v>544</v>
      </c>
      <c r="B40" s="128"/>
      <c r="C40" s="117"/>
      <c r="D40" s="112"/>
      <c r="E40" s="20">
        <f>(E38+E39)*0.01</f>
        <v>3982.3087614800006</v>
      </c>
    </row>
    <row r="41" spans="1:5" ht="12.75">
      <c r="A41" s="172" t="s">
        <v>257</v>
      </c>
      <c r="B41" s="173"/>
      <c r="C41" s="173"/>
      <c r="D41" s="112"/>
      <c r="E41" s="9">
        <f>SUM(E38:E40)</f>
        <v>402213.18490948004</v>
      </c>
    </row>
    <row r="42" spans="1:5" ht="12.75">
      <c r="A42" s="93" t="s">
        <v>248</v>
      </c>
      <c r="B42" s="39"/>
      <c r="C42" s="40"/>
      <c r="D42" s="9"/>
      <c r="E42" s="113">
        <f>E41/A12/12</f>
        <v>10.519667757555501</v>
      </c>
    </row>
    <row r="43" spans="1:5" ht="12.75">
      <c r="A43" s="94"/>
      <c r="B43" s="12"/>
      <c r="C43" s="13"/>
      <c r="D43" s="13"/>
      <c r="E43" s="52"/>
    </row>
  </sheetData>
  <sheetProtection/>
  <mergeCells count="24">
    <mergeCell ref="A34:C34"/>
    <mergeCell ref="B35:C35"/>
    <mergeCell ref="A38:C38"/>
    <mergeCell ref="A39:C39"/>
    <mergeCell ref="A40:B40"/>
    <mergeCell ref="A41:C41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D24"/>
    <mergeCell ref="A25:C25"/>
    <mergeCell ref="A26:C26"/>
    <mergeCell ref="A6:E6"/>
    <mergeCell ref="A10:E10"/>
    <mergeCell ref="A14:A15"/>
    <mergeCell ref="C14:C15"/>
    <mergeCell ref="A18:C18"/>
    <mergeCell ref="A20:C20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75390625" style="0" customWidth="1"/>
    <col min="5" max="5" width="12.7539062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381</v>
      </c>
      <c r="D3" s="55"/>
    </row>
    <row r="6" spans="1:5" ht="21" customHeight="1">
      <c r="A6" s="134" t="s">
        <v>365</v>
      </c>
      <c r="B6" s="135"/>
      <c r="C6" s="135"/>
      <c r="D6" s="135"/>
      <c r="E6" s="135"/>
    </row>
    <row r="7" spans="1:5" ht="15.75">
      <c r="A7" s="2" t="s">
        <v>237</v>
      </c>
      <c r="B7" s="2"/>
      <c r="C7" s="1"/>
      <c r="D7" s="1"/>
      <c r="E7" s="1"/>
    </row>
    <row r="8" spans="1:5" ht="14.25">
      <c r="A8" s="3" t="s">
        <v>717</v>
      </c>
      <c r="B8" s="1"/>
      <c r="C8" s="1"/>
      <c r="D8" s="1"/>
      <c r="E8" s="1"/>
    </row>
    <row r="9" spans="1:5" ht="14.25">
      <c r="A9" s="3"/>
      <c r="B9" s="1"/>
      <c r="C9" s="1"/>
      <c r="D9" s="52"/>
      <c r="E9" s="1"/>
    </row>
    <row r="10" spans="1:5" ht="14.25">
      <c r="A10" s="3"/>
      <c r="B10" s="1"/>
      <c r="C10" s="1"/>
      <c r="D10" s="1"/>
      <c r="E10" s="1"/>
    </row>
    <row r="11" spans="1:5" ht="12.75">
      <c r="A11" s="136" t="s">
        <v>240</v>
      </c>
      <c r="B11" s="137"/>
      <c r="C11" s="137"/>
      <c r="D11" s="137"/>
      <c r="E11" s="138"/>
    </row>
    <row r="12" spans="1:5" ht="12.75">
      <c r="A12" s="18" t="s">
        <v>241</v>
      </c>
      <c r="B12" s="18" t="s">
        <v>242</v>
      </c>
      <c r="C12" s="18" t="s">
        <v>243</v>
      </c>
      <c r="D12" s="18" t="s">
        <v>244</v>
      </c>
      <c r="E12" s="18" t="s">
        <v>239</v>
      </c>
    </row>
    <row r="13" spans="1:5" ht="14.25">
      <c r="A13" s="51">
        <v>3223.3</v>
      </c>
      <c r="B13" s="49">
        <v>246</v>
      </c>
      <c r="C13" s="49">
        <v>782</v>
      </c>
      <c r="D13" s="49"/>
      <c r="E13" s="7">
        <v>3533</v>
      </c>
    </row>
    <row r="14" spans="1:5" ht="14.25">
      <c r="A14" s="3"/>
      <c r="B14" s="1"/>
      <c r="C14" s="1"/>
      <c r="D14" s="1"/>
      <c r="E14" s="1"/>
    </row>
    <row r="15" spans="1:5" ht="12.75">
      <c r="A15" s="145" t="s">
        <v>245</v>
      </c>
      <c r="B15" s="50" t="s">
        <v>718</v>
      </c>
      <c r="C15" s="147" t="s">
        <v>719</v>
      </c>
      <c r="D15" s="22"/>
      <c r="E15" s="1"/>
    </row>
    <row r="16" spans="1:5" ht="12.75">
      <c r="A16" s="151"/>
      <c r="B16" s="50" t="s">
        <v>720</v>
      </c>
      <c r="C16" s="151"/>
      <c r="D16" s="1"/>
      <c r="E16" s="1"/>
    </row>
    <row r="17" spans="1:5" ht="12.75">
      <c r="A17" s="69"/>
      <c r="B17" s="66"/>
      <c r="C17" s="69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39" t="s">
        <v>234</v>
      </c>
      <c r="B19" s="140"/>
      <c r="C19" s="140"/>
      <c r="D19" s="47"/>
      <c r="E19" s="48" t="s">
        <v>238</v>
      </c>
    </row>
    <row r="20" spans="1:5" ht="12.75">
      <c r="A20" s="41" t="s">
        <v>235</v>
      </c>
      <c r="B20" s="42"/>
      <c r="C20" s="42"/>
      <c r="D20" s="43"/>
      <c r="E20" s="24">
        <f>E22+E23+E24+E25</f>
        <v>59937.1368</v>
      </c>
    </row>
    <row r="21" spans="1:5" ht="12.75">
      <c r="A21" s="141" t="s">
        <v>246</v>
      </c>
      <c r="B21" s="142"/>
      <c r="C21" s="142"/>
      <c r="D21" s="46"/>
      <c r="E21" s="21"/>
    </row>
    <row r="22" spans="1:5" ht="12.75">
      <c r="A22" s="131" t="s">
        <v>721</v>
      </c>
      <c r="B22" s="132"/>
      <c r="C22" s="132"/>
      <c r="D22" s="44"/>
      <c r="E22" s="45">
        <f>0.368*5800*1.75*1.263*12</f>
        <v>56610.6912</v>
      </c>
    </row>
    <row r="23" spans="1:5" ht="12.75">
      <c r="A23" s="122" t="s">
        <v>724</v>
      </c>
      <c r="B23" s="123"/>
      <c r="C23" s="123"/>
      <c r="D23" s="21"/>
      <c r="E23" s="26">
        <f>0.012*A13*12</f>
        <v>464.15520000000004</v>
      </c>
    </row>
    <row r="24" spans="1:5" ht="12.75">
      <c r="A24" s="122" t="s">
        <v>725</v>
      </c>
      <c r="B24" s="123"/>
      <c r="C24" s="123"/>
      <c r="D24" s="21"/>
      <c r="E24" s="26">
        <f>0.014*A13*12</f>
        <v>541.5144</v>
      </c>
    </row>
    <row r="25" spans="1:5" ht="12.75">
      <c r="A25" s="122" t="s">
        <v>726</v>
      </c>
      <c r="B25" s="123"/>
      <c r="C25" s="123"/>
      <c r="D25" s="133"/>
      <c r="E25" s="27">
        <f>0.06*A13*12</f>
        <v>2320.776</v>
      </c>
    </row>
    <row r="26" spans="1:5" ht="12.75">
      <c r="A26" s="129" t="s">
        <v>236</v>
      </c>
      <c r="B26" s="130"/>
      <c r="C26" s="130"/>
      <c r="D26" s="21"/>
      <c r="E26" s="19">
        <f>E27+E28+E29+E30+E31+E33+E32</f>
        <v>70681.6132</v>
      </c>
    </row>
    <row r="27" spans="1:5" ht="12.75">
      <c r="A27" s="122" t="s">
        <v>653</v>
      </c>
      <c r="B27" s="123"/>
      <c r="C27" s="123"/>
      <c r="D27" s="21"/>
      <c r="E27" s="26">
        <f>146*1.5*101.01</f>
        <v>22121.190000000002</v>
      </c>
    </row>
    <row r="28" spans="1:5" ht="12.75">
      <c r="A28" s="122" t="s">
        <v>659</v>
      </c>
      <c r="B28" s="123"/>
      <c r="C28" s="123"/>
      <c r="D28" s="21"/>
      <c r="E28" s="26">
        <f>1.5*146*35.02</f>
        <v>7669.380000000001</v>
      </c>
    </row>
    <row r="29" spans="1:5" ht="12.75">
      <c r="A29" s="122" t="s">
        <v>65</v>
      </c>
      <c r="B29" s="123"/>
      <c r="C29" s="123"/>
      <c r="D29" s="21"/>
      <c r="E29" s="27">
        <f>8300*2.89</f>
        <v>23987</v>
      </c>
    </row>
    <row r="30" spans="1:5" ht="12.75">
      <c r="A30" s="122" t="s">
        <v>722</v>
      </c>
      <c r="B30" s="123"/>
      <c r="C30" s="123"/>
      <c r="D30" s="21"/>
      <c r="E30" s="26">
        <f>0.002*A13*12</f>
        <v>77.3592</v>
      </c>
    </row>
    <row r="31" spans="1:5" ht="12.75">
      <c r="A31" s="122" t="s">
        <v>727</v>
      </c>
      <c r="B31" s="123"/>
      <c r="C31" s="123"/>
      <c r="D31" s="21"/>
      <c r="E31" s="26">
        <f>0.29*A13*12</f>
        <v>11217.083999999999</v>
      </c>
    </row>
    <row r="32" spans="1:5" ht="12.75" customHeight="1">
      <c r="A32" s="122" t="s">
        <v>730</v>
      </c>
      <c r="B32" s="123"/>
      <c r="C32" s="123"/>
      <c r="D32" s="21"/>
      <c r="E32" s="26">
        <f>80*5.44+80*16.17*4</f>
        <v>5609.6</v>
      </c>
    </row>
    <row r="33" spans="1:5" ht="12.75">
      <c r="A33" s="28" t="s">
        <v>249</v>
      </c>
      <c r="B33" s="29" t="s">
        <v>268</v>
      </c>
      <c r="C33" s="29"/>
      <c r="D33" s="21"/>
      <c r="E33" s="6"/>
    </row>
    <row r="34" spans="1:5" ht="12.75">
      <c r="A34" s="124" t="s">
        <v>252</v>
      </c>
      <c r="B34" s="125"/>
      <c r="C34" s="125"/>
      <c r="D34" s="30"/>
      <c r="E34" s="9">
        <v>154950</v>
      </c>
    </row>
    <row r="35" spans="1:5" ht="12.75">
      <c r="A35" s="53" t="s">
        <v>265</v>
      </c>
      <c r="B35" s="54"/>
      <c r="C35" s="54" t="s">
        <v>728</v>
      </c>
      <c r="D35" s="30"/>
      <c r="E35" s="19">
        <f>0.81*A13*12</f>
        <v>31330.476000000006</v>
      </c>
    </row>
    <row r="36" spans="1:5" ht="12.75">
      <c r="A36" s="143" t="s">
        <v>729</v>
      </c>
      <c r="B36" s="144"/>
      <c r="C36" s="144"/>
      <c r="D36" s="30"/>
      <c r="E36" s="19">
        <f>1.63*A13*12</f>
        <v>63047.74800000001</v>
      </c>
    </row>
    <row r="37" spans="1:5" ht="12.75">
      <c r="A37" s="36" t="s">
        <v>215</v>
      </c>
      <c r="B37" s="37"/>
      <c r="C37" s="37" t="s">
        <v>723</v>
      </c>
      <c r="D37" s="38"/>
      <c r="E37" s="9">
        <f>0.003*A13*12</f>
        <v>116.03880000000001</v>
      </c>
    </row>
    <row r="38" spans="1:5" ht="12.75">
      <c r="A38" s="118" t="s">
        <v>335</v>
      </c>
      <c r="B38" s="119"/>
      <c r="C38" s="119"/>
      <c r="D38" s="30"/>
      <c r="E38" s="9">
        <f>E37+E36+E35+E34+E26+E20</f>
        <v>380063.0128</v>
      </c>
    </row>
    <row r="39" spans="1:5" ht="12.75" customHeight="1">
      <c r="A39" s="120" t="s">
        <v>430</v>
      </c>
      <c r="B39" s="121"/>
      <c r="C39" s="121"/>
      <c r="D39" s="30"/>
      <c r="E39" s="20">
        <f>E38*0.06</f>
        <v>22803.780768</v>
      </c>
    </row>
    <row r="40" spans="1:5" ht="12.75" customHeight="1">
      <c r="A40" s="127" t="s">
        <v>155</v>
      </c>
      <c r="B40" s="128"/>
      <c r="C40" s="114"/>
      <c r="D40" s="30"/>
      <c r="E40" s="20">
        <f>(E38+E39)*0.01</f>
        <v>4028.6679356800005</v>
      </c>
    </row>
    <row r="41" spans="1:5" ht="12.75">
      <c r="A41" s="118" t="s">
        <v>257</v>
      </c>
      <c r="B41" s="119"/>
      <c r="C41" s="119"/>
      <c r="D41" s="30"/>
      <c r="E41" s="9">
        <f>SUM(E38:E40)</f>
        <v>406895.46150368004</v>
      </c>
    </row>
    <row r="42" spans="1:5" ht="12.75">
      <c r="A42" s="8" t="s">
        <v>248</v>
      </c>
      <c r="B42" s="39"/>
      <c r="C42" s="40"/>
      <c r="D42" s="9" t="s">
        <v>237</v>
      </c>
      <c r="E42" s="113">
        <f>E41/A13/12</f>
        <v>10.519639849007746</v>
      </c>
    </row>
    <row r="43" spans="1:5" ht="12.75">
      <c r="A43" s="11"/>
      <c r="B43" s="12"/>
      <c r="C43" s="13"/>
      <c r="D43" s="13"/>
      <c r="E43" s="1"/>
    </row>
  </sheetData>
  <sheetProtection/>
  <mergeCells count="23">
    <mergeCell ref="A19:C19"/>
    <mergeCell ref="A21:C21"/>
    <mergeCell ref="A22:C22"/>
    <mergeCell ref="A23:C23"/>
    <mergeCell ref="A6:E6"/>
    <mergeCell ref="A11:E11"/>
    <mergeCell ref="A15:A16"/>
    <mergeCell ref="C15:C16"/>
    <mergeCell ref="A28:C28"/>
    <mergeCell ref="A29:C29"/>
    <mergeCell ref="A30:C30"/>
    <mergeCell ref="A31:C31"/>
    <mergeCell ref="A24:C24"/>
    <mergeCell ref="A25:D25"/>
    <mergeCell ref="A26:C26"/>
    <mergeCell ref="A27:C27"/>
    <mergeCell ref="A39:C39"/>
    <mergeCell ref="A40:B40"/>
    <mergeCell ref="A41:C41"/>
    <mergeCell ref="A32:C32"/>
    <mergeCell ref="A34:C34"/>
    <mergeCell ref="A36:C36"/>
    <mergeCell ref="A38:C3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L32" sqref="L32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381</v>
      </c>
      <c r="D3" s="55"/>
    </row>
    <row r="6" spans="1:5" ht="21" customHeight="1">
      <c r="A6" s="134" t="s">
        <v>365</v>
      </c>
      <c r="B6" s="135"/>
      <c r="C6" s="135"/>
      <c r="D6" s="135"/>
      <c r="E6" s="135"/>
    </row>
    <row r="7" spans="1:5" ht="15.75">
      <c r="A7" s="2" t="s">
        <v>237</v>
      </c>
      <c r="B7" s="2"/>
      <c r="C7" s="1"/>
      <c r="D7" s="1"/>
      <c r="E7" s="1"/>
    </row>
    <row r="8" spans="1:5" ht="14.25">
      <c r="A8" s="3" t="s">
        <v>731</v>
      </c>
      <c r="B8" s="1"/>
      <c r="C8" s="1"/>
      <c r="D8" s="1"/>
      <c r="E8" s="1"/>
    </row>
    <row r="9" spans="1:5" ht="14.25">
      <c r="A9" s="3"/>
      <c r="B9" s="1"/>
      <c r="C9" s="1"/>
      <c r="D9" s="52"/>
      <c r="E9" s="1"/>
    </row>
    <row r="10" spans="1:5" ht="14.25">
      <c r="A10" s="3"/>
      <c r="B10" s="1"/>
      <c r="C10" s="1"/>
      <c r="D10" s="1"/>
      <c r="E10" s="1"/>
    </row>
    <row r="11" spans="1:5" ht="12.75">
      <c r="A11" s="136" t="s">
        <v>240</v>
      </c>
      <c r="B11" s="137"/>
      <c r="C11" s="137"/>
      <c r="D11" s="137"/>
      <c r="E11" s="138"/>
    </row>
    <row r="12" spans="1:5" ht="12.75">
      <c r="A12" s="18" t="s">
        <v>241</v>
      </c>
      <c r="B12" s="18" t="s">
        <v>242</v>
      </c>
      <c r="C12" s="18" t="s">
        <v>243</v>
      </c>
      <c r="D12" s="18" t="s">
        <v>244</v>
      </c>
      <c r="E12" s="18" t="s">
        <v>239</v>
      </c>
    </row>
    <row r="13" spans="1:5" ht="14.25">
      <c r="A13" s="51">
        <v>2362.5</v>
      </c>
      <c r="B13" s="49">
        <v>244</v>
      </c>
      <c r="C13" s="49">
        <v>955.2</v>
      </c>
      <c r="D13" s="49"/>
      <c r="E13" s="7">
        <v>2598.2</v>
      </c>
    </row>
    <row r="14" spans="1:5" ht="14.25">
      <c r="A14" s="3"/>
      <c r="B14" s="1"/>
      <c r="C14" s="1"/>
      <c r="D14" s="1"/>
      <c r="E14" s="1"/>
    </row>
    <row r="15" spans="1:5" ht="12.75">
      <c r="A15" s="145" t="s">
        <v>245</v>
      </c>
      <c r="B15" s="50" t="s">
        <v>732</v>
      </c>
      <c r="C15" s="147" t="s">
        <v>733</v>
      </c>
      <c r="D15" s="22"/>
      <c r="E15" s="1"/>
    </row>
    <row r="16" spans="1:5" ht="12.75">
      <c r="A16" s="151"/>
      <c r="B16" s="50" t="s">
        <v>734</v>
      </c>
      <c r="C16" s="151"/>
      <c r="D16" s="1"/>
      <c r="E16" s="1"/>
    </row>
    <row r="17" spans="1:5" ht="12.75">
      <c r="A17" s="69"/>
      <c r="B17" s="66"/>
      <c r="C17" s="69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39" t="s">
        <v>234</v>
      </c>
      <c r="B19" s="140"/>
      <c r="C19" s="140"/>
      <c r="D19" s="47"/>
      <c r="E19" s="48" t="s">
        <v>238</v>
      </c>
    </row>
    <row r="20" spans="1:5" ht="12.75">
      <c r="A20" s="41" t="s">
        <v>235</v>
      </c>
      <c r="B20" s="42"/>
      <c r="C20" s="42"/>
      <c r="D20" s="43"/>
      <c r="E20" s="24">
        <f>E22+E23+E24+E25</f>
        <v>60608.68379999999</v>
      </c>
    </row>
    <row r="21" spans="1:5" ht="12.75">
      <c r="A21" s="141" t="s">
        <v>246</v>
      </c>
      <c r="B21" s="142"/>
      <c r="C21" s="142"/>
      <c r="D21" s="46"/>
      <c r="E21" s="21"/>
    </row>
    <row r="22" spans="1:5" ht="12.75">
      <c r="A22" s="131" t="s">
        <v>735</v>
      </c>
      <c r="B22" s="132"/>
      <c r="C22" s="132"/>
      <c r="D22" s="44"/>
      <c r="E22" s="45">
        <f>0.397*5800*1.75*1.203*12</f>
        <v>58170.58379999999</v>
      </c>
    </row>
    <row r="23" spans="1:5" ht="12.75">
      <c r="A23" s="122" t="s">
        <v>736</v>
      </c>
      <c r="B23" s="123"/>
      <c r="C23" s="123"/>
      <c r="D23" s="21"/>
      <c r="E23" s="26">
        <f>0.012*A13*12</f>
        <v>340.20000000000005</v>
      </c>
    </row>
    <row r="24" spans="1:5" ht="12.75">
      <c r="A24" s="122" t="s">
        <v>737</v>
      </c>
      <c r="B24" s="123"/>
      <c r="C24" s="123"/>
      <c r="D24" s="21"/>
      <c r="E24" s="26">
        <f>0.014*A13*12</f>
        <v>396.90000000000003</v>
      </c>
    </row>
    <row r="25" spans="1:5" ht="12.75">
      <c r="A25" s="122" t="s">
        <v>738</v>
      </c>
      <c r="B25" s="123"/>
      <c r="C25" s="123"/>
      <c r="D25" s="133"/>
      <c r="E25" s="27">
        <f>0.06*A13*12</f>
        <v>1701</v>
      </c>
    </row>
    <row r="26" spans="1:5" ht="12.75">
      <c r="A26" s="129" t="s">
        <v>236</v>
      </c>
      <c r="B26" s="130"/>
      <c r="C26" s="130"/>
      <c r="D26" s="21"/>
      <c r="E26" s="19">
        <f>E27+E28+E29+E30+E32+E34+E33+E31</f>
        <v>50360.955</v>
      </c>
    </row>
    <row r="27" spans="1:5" ht="12.75">
      <c r="A27" s="122" t="s">
        <v>739</v>
      </c>
      <c r="B27" s="123"/>
      <c r="C27" s="123"/>
      <c r="D27" s="21"/>
      <c r="E27" s="26">
        <f>103*1.5*101.01</f>
        <v>15606.045</v>
      </c>
    </row>
    <row r="28" spans="1:5" ht="12.75">
      <c r="A28" s="122" t="s">
        <v>740</v>
      </c>
      <c r="B28" s="123"/>
      <c r="C28" s="123"/>
      <c r="D28" s="21"/>
      <c r="E28" s="26">
        <f>1.5*97*35.02</f>
        <v>5095.410000000001</v>
      </c>
    </row>
    <row r="29" spans="1:5" ht="12.75">
      <c r="A29" s="122" t="s">
        <v>307</v>
      </c>
      <c r="B29" s="123"/>
      <c r="C29" s="123"/>
      <c r="D29" s="21"/>
      <c r="E29" s="27">
        <f>7300*2.73</f>
        <v>19929</v>
      </c>
    </row>
    <row r="30" spans="1:5" ht="12.75">
      <c r="A30" s="122" t="s">
        <v>741</v>
      </c>
      <c r="B30" s="123"/>
      <c r="C30" s="123"/>
      <c r="D30" s="21"/>
      <c r="E30" s="26">
        <f>0.002*A13*12</f>
        <v>56.7</v>
      </c>
    </row>
    <row r="31" spans="1:5" ht="12.75">
      <c r="A31" s="122" t="s">
        <v>742</v>
      </c>
      <c r="B31" s="123"/>
      <c r="C31" s="123"/>
      <c r="D31" s="21"/>
      <c r="E31" s="26">
        <f>1.61*750</f>
        <v>1207.5</v>
      </c>
    </row>
    <row r="32" spans="1:5" ht="12.75">
      <c r="A32" s="122" t="s">
        <v>743</v>
      </c>
      <c r="B32" s="123"/>
      <c r="C32" s="123"/>
      <c r="D32" s="21"/>
      <c r="E32" s="26">
        <f>0.29*A13*12</f>
        <v>8221.5</v>
      </c>
    </row>
    <row r="33" spans="1:5" ht="12.75" customHeight="1">
      <c r="A33" s="122" t="s">
        <v>744</v>
      </c>
      <c r="B33" s="123"/>
      <c r="C33" s="123"/>
      <c r="D33" s="21"/>
      <c r="E33" s="26">
        <f>45*5.44</f>
        <v>244.8</v>
      </c>
    </row>
    <row r="34" spans="1:5" ht="12.75">
      <c r="A34" s="28" t="s">
        <v>249</v>
      </c>
      <c r="B34" s="29" t="s">
        <v>268</v>
      </c>
      <c r="C34" s="29"/>
      <c r="D34" s="21"/>
      <c r="E34" s="6"/>
    </row>
    <row r="35" spans="1:5" ht="12.75">
      <c r="A35" s="124" t="s">
        <v>252</v>
      </c>
      <c r="B35" s="125"/>
      <c r="C35" s="125"/>
      <c r="D35" s="30"/>
      <c r="E35" s="9">
        <v>89501</v>
      </c>
    </row>
    <row r="36" spans="1:5" ht="12.75">
      <c r="A36" s="53" t="s">
        <v>265</v>
      </c>
      <c r="B36" s="54"/>
      <c r="C36" s="54" t="s">
        <v>745</v>
      </c>
      <c r="D36" s="30"/>
      <c r="E36" s="19">
        <f>0.81*A13*12</f>
        <v>22963.500000000004</v>
      </c>
    </row>
    <row r="37" spans="1:5" ht="12.75">
      <c r="A37" s="143" t="s">
        <v>746</v>
      </c>
      <c r="B37" s="144"/>
      <c r="C37" s="144"/>
      <c r="D37" s="30"/>
      <c r="E37" s="19">
        <f>2.04*A13*12</f>
        <v>57834</v>
      </c>
    </row>
    <row r="38" spans="1:5" ht="12.75">
      <c r="A38" s="36" t="s">
        <v>215</v>
      </c>
      <c r="B38" s="37"/>
      <c r="C38" s="37" t="s">
        <v>747</v>
      </c>
      <c r="D38" s="38"/>
      <c r="E38" s="9">
        <f>0.003*A13*12</f>
        <v>85.05000000000001</v>
      </c>
    </row>
    <row r="39" spans="1:5" ht="12.75">
      <c r="A39" s="118" t="s">
        <v>335</v>
      </c>
      <c r="B39" s="119"/>
      <c r="C39" s="119"/>
      <c r="D39" s="30"/>
      <c r="E39" s="9">
        <f>E38+E37+E36+E35+E26+E20</f>
        <v>281353.1888</v>
      </c>
    </row>
    <row r="40" spans="1:5" ht="12.75" customHeight="1">
      <c r="A40" s="120" t="s">
        <v>430</v>
      </c>
      <c r="B40" s="121"/>
      <c r="C40" s="121"/>
      <c r="D40" s="30"/>
      <c r="E40" s="20">
        <f>E39*0.06</f>
        <v>16881.191328</v>
      </c>
    </row>
    <row r="41" spans="1:5" ht="12.75" customHeight="1">
      <c r="A41" s="127" t="s">
        <v>155</v>
      </c>
      <c r="B41" s="128"/>
      <c r="C41" s="114"/>
      <c r="D41" s="30"/>
      <c r="E41" s="20">
        <f>(E39+E40)*0.01</f>
        <v>2982.3438012799998</v>
      </c>
    </row>
    <row r="42" spans="1:5" ht="12.75">
      <c r="A42" s="118" t="s">
        <v>257</v>
      </c>
      <c r="B42" s="119"/>
      <c r="C42" s="119"/>
      <c r="D42" s="30"/>
      <c r="E42" s="9">
        <f>SUM(E39:E40)</f>
        <v>298234.380128</v>
      </c>
    </row>
    <row r="43" spans="1:5" ht="12.75">
      <c r="A43" s="8" t="s">
        <v>248</v>
      </c>
      <c r="B43" s="39"/>
      <c r="C43" s="40"/>
      <c r="D43" s="9" t="s">
        <v>237</v>
      </c>
      <c r="E43" s="113">
        <f>E42/A13/12</f>
        <v>10.519731221446207</v>
      </c>
    </row>
    <row r="44" spans="1:5" ht="12.75">
      <c r="A44" s="11"/>
      <c r="B44" s="12"/>
      <c r="C44" s="13"/>
      <c r="D44" s="13"/>
      <c r="E44" s="1"/>
    </row>
  </sheetData>
  <sheetProtection/>
  <mergeCells count="24">
    <mergeCell ref="A19:C19"/>
    <mergeCell ref="A21:C21"/>
    <mergeCell ref="A22:C22"/>
    <mergeCell ref="A23:C23"/>
    <mergeCell ref="A6:E6"/>
    <mergeCell ref="A11:E11"/>
    <mergeCell ref="A15:A16"/>
    <mergeCell ref="C15:C16"/>
    <mergeCell ref="A28:C28"/>
    <mergeCell ref="A29:C29"/>
    <mergeCell ref="A30:C30"/>
    <mergeCell ref="A31:C31"/>
    <mergeCell ref="A24:C24"/>
    <mergeCell ref="A25:D25"/>
    <mergeCell ref="A26:C26"/>
    <mergeCell ref="A27:C27"/>
    <mergeCell ref="A39:C39"/>
    <mergeCell ref="A40:C40"/>
    <mergeCell ref="A41:B41"/>
    <mergeCell ref="A42:C42"/>
    <mergeCell ref="A32:C32"/>
    <mergeCell ref="A33:C33"/>
    <mergeCell ref="A35:C35"/>
    <mergeCell ref="A37:C37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E40" sqref="E40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75390625" style="0" customWidth="1"/>
    <col min="5" max="5" width="12.7539062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381</v>
      </c>
      <c r="D3" s="55"/>
    </row>
    <row r="6" spans="1:5" ht="21" customHeight="1">
      <c r="A6" s="134" t="s">
        <v>365</v>
      </c>
      <c r="B6" s="135"/>
      <c r="C6" s="135"/>
      <c r="D6" s="135"/>
      <c r="E6" s="135"/>
    </row>
    <row r="7" spans="1:5" ht="15.75">
      <c r="A7" s="2" t="s">
        <v>237</v>
      </c>
      <c r="B7" s="2"/>
      <c r="C7" s="1"/>
      <c r="D7" s="1"/>
      <c r="E7" s="1"/>
    </row>
    <row r="8" spans="1:5" ht="14.25">
      <c r="A8" s="3" t="s">
        <v>514</v>
      </c>
      <c r="B8" s="1"/>
      <c r="C8" s="1"/>
      <c r="D8" s="1"/>
      <c r="E8" s="1"/>
    </row>
    <row r="9" spans="1:5" ht="14.25">
      <c r="A9" s="3"/>
      <c r="B9" s="1"/>
      <c r="C9" s="1"/>
      <c r="D9" s="52"/>
      <c r="E9" s="1"/>
    </row>
    <row r="10" spans="1:5" ht="14.25">
      <c r="A10" s="3"/>
      <c r="B10" s="1"/>
      <c r="C10" s="1"/>
      <c r="D10" s="1"/>
      <c r="E10" s="1"/>
    </row>
    <row r="11" spans="1:5" ht="12.75">
      <c r="A11" s="136" t="s">
        <v>240</v>
      </c>
      <c r="B11" s="137"/>
      <c r="C11" s="137"/>
      <c r="D11" s="137"/>
      <c r="E11" s="138"/>
    </row>
    <row r="12" spans="1:5" ht="12.75">
      <c r="A12" s="18" t="s">
        <v>241</v>
      </c>
      <c r="B12" s="18" t="s">
        <v>242</v>
      </c>
      <c r="C12" s="18" t="s">
        <v>243</v>
      </c>
      <c r="D12" s="18" t="s">
        <v>244</v>
      </c>
      <c r="E12" s="18" t="s">
        <v>239</v>
      </c>
    </row>
    <row r="13" spans="1:5" ht="14.25">
      <c r="A13" s="51">
        <v>3286.1</v>
      </c>
      <c r="B13" s="49">
        <v>248.5</v>
      </c>
      <c r="C13" s="49">
        <v>531</v>
      </c>
      <c r="D13" s="49"/>
      <c r="E13" s="7">
        <v>516</v>
      </c>
    </row>
    <row r="14" spans="1:5" ht="14.25">
      <c r="A14" s="3"/>
      <c r="B14" s="1"/>
      <c r="C14" s="1"/>
      <c r="D14" s="1"/>
      <c r="E14" s="1"/>
    </row>
    <row r="15" spans="1:5" ht="12.75">
      <c r="A15" s="145" t="s">
        <v>245</v>
      </c>
      <c r="B15" s="50" t="s">
        <v>515</v>
      </c>
      <c r="C15" s="147" t="s">
        <v>516</v>
      </c>
      <c r="D15" s="22"/>
      <c r="E15" s="1"/>
    </row>
    <row r="16" spans="1:5" ht="12.75">
      <c r="A16" s="151"/>
      <c r="B16" s="50" t="s">
        <v>517</v>
      </c>
      <c r="C16" s="151"/>
      <c r="D16" s="1"/>
      <c r="E16" s="1"/>
    </row>
    <row r="17" spans="1:5" ht="12.75">
      <c r="A17" s="69"/>
      <c r="B17" s="66"/>
      <c r="C17" s="69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39" t="s">
        <v>234</v>
      </c>
      <c r="B19" s="140"/>
      <c r="C19" s="140"/>
      <c r="D19" s="47"/>
      <c r="E19" s="48" t="s">
        <v>238</v>
      </c>
    </row>
    <row r="20" spans="1:5" ht="12.75">
      <c r="A20" s="41" t="s">
        <v>235</v>
      </c>
      <c r="B20" s="42"/>
      <c r="C20" s="42"/>
      <c r="D20" s="43"/>
      <c r="E20" s="24">
        <f>E22+E23+E24+E25</f>
        <v>34739.31792</v>
      </c>
    </row>
    <row r="21" spans="1:5" ht="12.75">
      <c r="A21" s="141" t="s">
        <v>246</v>
      </c>
      <c r="B21" s="142"/>
      <c r="C21" s="142"/>
      <c r="D21" s="46"/>
      <c r="E21" s="21"/>
    </row>
    <row r="22" spans="1:5" ht="12.75">
      <c r="A22" s="131" t="s">
        <v>521</v>
      </c>
      <c r="B22" s="132"/>
      <c r="C22" s="132"/>
      <c r="D22" s="44"/>
      <c r="E22" s="45">
        <f>0.1872*5800*2*1.203*12</f>
        <v>31348.06272</v>
      </c>
    </row>
    <row r="23" spans="1:5" ht="12.75">
      <c r="A23" s="122" t="s">
        <v>62</v>
      </c>
      <c r="B23" s="123"/>
      <c r="C23" s="123"/>
      <c r="D23" s="21"/>
      <c r="E23" s="26">
        <f>0.012*A13*12</f>
        <v>473.1984</v>
      </c>
    </row>
    <row r="24" spans="1:5" ht="12.75">
      <c r="A24" s="122" t="s">
        <v>522</v>
      </c>
      <c r="B24" s="123"/>
      <c r="C24" s="123"/>
      <c r="D24" s="21"/>
      <c r="E24" s="26">
        <f>0.014*A13*12</f>
        <v>552.0648</v>
      </c>
    </row>
    <row r="25" spans="1:5" ht="12.75">
      <c r="A25" s="122" t="s">
        <v>63</v>
      </c>
      <c r="B25" s="123"/>
      <c r="C25" s="123"/>
      <c r="D25" s="133"/>
      <c r="E25" s="27">
        <f>0.06*A13*12</f>
        <v>2365.992</v>
      </c>
    </row>
    <row r="26" spans="1:5" ht="12.75">
      <c r="A26" s="129" t="s">
        <v>236</v>
      </c>
      <c r="B26" s="130"/>
      <c r="C26" s="130"/>
      <c r="D26" s="21"/>
      <c r="E26" s="19">
        <f>E27+E28+E29+E30+E31+E33+E32</f>
        <v>72436.2344</v>
      </c>
    </row>
    <row r="27" spans="1:5" ht="12.75">
      <c r="A27" s="122" t="s">
        <v>523</v>
      </c>
      <c r="B27" s="123"/>
      <c r="C27" s="123"/>
      <c r="D27" s="21"/>
      <c r="E27" s="27">
        <f>132*1.5*101.01</f>
        <v>19999.98</v>
      </c>
    </row>
    <row r="28" spans="1:5" ht="12.75">
      <c r="A28" s="122" t="s">
        <v>64</v>
      </c>
      <c r="B28" s="123"/>
      <c r="C28" s="123"/>
      <c r="D28" s="21"/>
      <c r="E28" s="27">
        <f>132*1.5*35.02</f>
        <v>6933.960000000001</v>
      </c>
    </row>
    <row r="29" spans="1:5" ht="12.75">
      <c r="A29" s="122" t="s">
        <v>65</v>
      </c>
      <c r="B29" s="123"/>
      <c r="C29" s="123"/>
      <c r="D29" s="21"/>
      <c r="E29" s="27">
        <f>8300*2.73</f>
        <v>22659</v>
      </c>
    </row>
    <row r="30" spans="1:5" ht="12.75">
      <c r="A30" s="122" t="s">
        <v>518</v>
      </c>
      <c r="B30" s="123"/>
      <c r="C30" s="123"/>
      <c r="D30" s="21"/>
      <c r="E30" s="26">
        <f>0.002*A13*12</f>
        <v>78.8664</v>
      </c>
    </row>
    <row r="31" spans="1:5" ht="12.75">
      <c r="A31" s="122" t="s">
        <v>519</v>
      </c>
      <c r="B31" s="123"/>
      <c r="C31" s="123"/>
      <c r="D31" s="21"/>
      <c r="E31" s="26">
        <f>0.29*A13*12</f>
        <v>11435.627999999999</v>
      </c>
    </row>
    <row r="32" spans="1:5" ht="12.75" customHeight="1">
      <c r="A32" s="122" t="s">
        <v>317</v>
      </c>
      <c r="B32" s="123"/>
      <c r="C32" s="123"/>
      <c r="D32" s="21"/>
      <c r="E32" s="26">
        <f>80*5.44+80*16.17</f>
        <v>1728.8000000000002</v>
      </c>
    </row>
    <row r="33" spans="1:5" ht="12.75">
      <c r="A33" s="28" t="s">
        <v>249</v>
      </c>
      <c r="B33" s="29" t="s">
        <v>66</v>
      </c>
      <c r="C33" s="29"/>
      <c r="D33" s="21"/>
      <c r="E33" s="6">
        <f>80*120</f>
        <v>9600</v>
      </c>
    </row>
    <row r="34" spans="1:5" ht="12.75">
      <c r="A34" s="124" t="s">
        <v>252</v>
      </c>
      <c r="B34" s="125"/>
      <c r="C34" s="125"/>
      <c r="D34" s="30"/>
      <c r="E34" s="9">
        <v>183970</v>
      </c>
    </row>
    <row r="35" spans="1:5" ht="12.75">
      <c r="A35" s="53" t="s">
        <v>265</v>
      </c>
      <c r="B35" s="54"/>
      <c r="C35" s="54" t="s">
        <v>67</v>
      </c>
      <c r="D35" s="30"/>
      <c r="E35" s="19">
        <f>0.81*A13*12</f>
        <v>31940.892</v>
      </c>
    </row>
    <row r="36" spans="1:5" ht="12.75">
      <c r="A36" s="143" t="s">
        <v>68</v>
      </c>
      <c r="B36" s="144"/>
      <c r="C36" s="144"/>
      <c r="D36" s="30"/>
      <c r="E36" s="19">
        <f>1.63*A13*12</f>
        <v>64276.115999999995</v>
      </c>
    </row>
    <row r="37" spans="1:5" ht="12.75">
      <c r="A37" s="36" t="s">
        <v>215</v>
      </c>
      <c r="B37" s="37"/>
      <c r="C37" s="37" t="s">
        <v>520</v>
      </c>
      <c r="D37" s="38"/>
      <c r="E37" s="9">
        <f>0.003*A13*12</f>
        <v>118.2996</v>
      </c>
    </row>
    <row r="38" spans="1:5" ht="12.75">
      <c r="A38" s="118" t="s">
        <v>335</v>
      </c>
      <c r="B38" s="119"/>
      <c r="C38" s="119"/>
      <c r="D38" s="30"/>
      <c r="E38" s="9">
        <f>E37+E36+E35+E34+E26+E20</f>
        <v>387480.85992</v>
      </c>
    </row>
    <row r="39" spans="1:5" ht="12.75" customHeight="1">
      <c r="A39" s="120" t="s">
        <v>430</v>
      </c>
      <c r="B39" s="121"/>
      <c r="C39" s="121"/>
      <c r="D39" s="30"/>
      <c r="E39" s="20">
        <f>E38*0.06</f>
        <v>23248.8515952</v>
      </c>
    </row>
    <row r="40" spans="1:5" ht="12.75" customHeight="1">
      <c r="A40" s="127" t="s">
        <v>544</v>
      </c>
      <c r="B40" s="128"/>
      <c r="C40" s="117"/>
      <c r="D40" s="112"/>
      <c r="E40" s="20">
        <f>(E38+E39)*0.01</f>
        <v>4107.2971151520005</v>
      </c>
    </row>
    <row r="41" spans="1:5" ht="12.75">
      <c r="A41" s="118" t="s">
        <v>257</v>
      </c>
      <c r="B41" s="119"/>
      <c r="C41" s="119"/>
      <c r="D41" s="30"/>
      <c r="E41" s="9">
        <f>SUM(E38:E40)</f>
        <v>414837.00863035204</v>
      </c>
    </row>
    <row r="42" spans="1:5" ht="12.75">
      <c r="A42" s="8" t="s">
        <v>248</v>
      </c>
      <c r="B42" s="39"/>
      <c r="C42" s="40"/>
      <c r="D42" s="9" t="s">
        <v>237</v>
      </c>
      <c r="E42" s="113">
        <f>E41/A13/12</f>
        <v>10.519993523993794</v>
      </c>
    </row>
    <row r="43" spans="1:5" ht="12.75">
      <c r="A43" s="11"/>
      <c r="B43" s="12"/>
      <c r="C43" s="13"/>
      <c r="D43" s="13"/>
      <c r="E43" s="1"/>
    </row>
  </sheetData>
  <sheetProtection/>
  <mergeCells count="23">
    <mergeCell ref="A40:B40"/>
    <mergeCell ref="A28:C28"/>
    <mergeCell ref="A29:C29"/>
    <mergeCell ref="A30:C30"/>
    <mergeCell ref="A31:C31"/>
    <mergeCell ref="A39:C39"/>
    <mergeCell ref="A41:C41"/>
    <mergeCell ref="A32:C32"/>
    <mergeCell ref="A34:C34"/>
    <mergeCell ref="A36:C36"/>
    <mergeCell ref="A38:C38"/>
    <mergeCell ref="A22:C22"/>
    <mergeCell ref="A23:C23"/>
    <mergeCell ref="A24:C24"/>
    <mergeCell ref="A25:D25"/>
    <mergeCell ref="A26:C26"/>
    <mergeCell ref="A27:C27"/>
    <mergeCell ref="A6:E6"/>
    <mergeCell ref="A11:E11"/>
    <mergeCell ref="A15:A16"/>
    <mergeCell ref="C15:C16"/>
    <mergeCell ref="A19:C19"/>
    <mergeCell ref="A21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75390625" style="0" customWidth="1"/>
    <col min="5" max="5" width="12.7539062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381</v>
      </c>
      <c r="D3" s="55"/>
    </row>
    <row r="6" spans="1:5" ht="21" customHeight="1">
      <c r="A6" s="134" t="s">
        <v>365</v>
      </c>
      <c r="B6" s="135"/>
      <c r="C6" s="135"/>
      <c r="D6" s="135"/>
      <c r="E6" s="135"/>
    </row>
    <row r="7" spans="1:5" ht="15.75">
      <c r="A7" s="2" t="s">
        <v>237</v>
      </c>
      <c r="B7" s="2"/>
      <c r="C7" s="1"/>
      <c r="D7" s="1"/>
      <c r="E7" s="1"/>
    </row>
    <row r="8" spans="1:5" ht="14.25">
      <c r="A8" s="3" t="s">
        <v>748</v>
      </c>
      <c r="B8" s="1"/>
      <c r="C8" s="1"/>
      <c r="D8" s="1"/>
      <c r="E8" s="1"/>
    </row>
    <row r="9" spans="1:5" ht="14.25">
      <c r="A9" s="3"/>
      <c r="B9" s="1"/>
      <c r="C9" s="1"/>
      <c r="D9" s="52"/>
      <c r="E9" s="1"/>
    </row>
    <row r="10" spans="1:5" ht="14.25">
      <c r="A10" s="3"/>
      <c r="B10" s="1"/>
      <c r="C10" s="1"/>
      <c r="D10" s="1"/>
      <c r="E10" s="1"/>
    </row>
    <row r="11" spans="1:5" ht="12.75">
      <c r="A11" s="136" t="s">
        <v>240</v>
      </c>
      <c r="B11" s="137"/>
      <c r="C11" s="137"/>
      <c r="D11" s="137"/>
      <c r="E11" s="138"/>
    </row>
    <row r="12" spans="1:5" ht="12.75">
      <c r="A12" s="18" t="s">
        <v>241</v>
      </c>
      <c r="B12" s="18" t="s">
        <v>242</v>
      </c>
      <c r="C12" s="18" t="s">
        <v>243</v>
      </c>
      <c r="D12" s="18" t="s">
        <v>244</v>
      </c>
      <c r="E12" s="18" t="s">
        <v>239</v>
      </c>
    </row>
    <row r="13" spans="1:5" ht="14.25">
      <c r="A13" s="51">
        <v>3216.3</v>
      </c>
      <c r="B13" s="49">
        <v>242</v>
      </c>
      <c r="C13" s="49">
        <v>691</v>
      </c>
      <c r="D13" s="49"/>
      <c r="E13" s="7">
        <v>2356</v>
      </c>
    </row>
    <row r="14" spans="1:5" ht="14.25">
      <c r="A14" s="3"/>
      <c r="B14" s="1"/>
      <c r="C14" s="1"/>
      <c r="D14" s="1"/>
      <c r="E14" s="1"/>
    </row>
    <row r="15" spans="1:5" ht="12.75">
      <c r="A15" s="145" t="s">
        <v>245</v>
      </c>
      <c r="B15" s="50" t="s">
        <v>749</v>
      </c>
      <c r="C15" s="147" t="s">
        <v>750</v>
      </c>
      <c r="D15" s="22"/>
      <c r="E15" s="1"/>
    </row>
    <row r="16" spans="1:5" ht="12.75">
      <c r="A16" s="151"/>
      <c r="B16" s="50" t="s">
        <v>751</v>
      </c>
      <c r="C16" s="151"/>
      <c r="D16" s="1"/>
      <c r="E16" s="1"/>
    </row>
    <row r="17" spans="1:5" ht="12.75">
      <c r="A17" s="69"/>
      <c r="B17" s="66"/>
      <c r="C17" s="69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39" t="s">
        <v>234</v>
      </c>
      <c r="B19" s="140"/>
      <c r="C19" s="140"/>
      <c r="D19" s="47"/>
      <c r="E19" s="48" t="s">
        <v>238</v>
      </c>
    </row>
    <row r="20" spans="1:5" ht="12.75">
      <c r="A20" s="41" t="s">
        <v>235</v>
      </c>
      <c r="B20" s="42"/>
      <c r="C20" s="42"/>
      <c r="D20" s="43"/>
      <c r="E20" s="24">
        <f>E22+E23+E24+E25</f>
        <v>46983.790799999995</v>
      </c>
    </row>
    <row r="21" spans="1:5" ht="12.75">
      <c r="A21" s="141" t="s">
        <v>246</v>
      </c>
      <c r="B21" s="142"/>
      <c r="C21" s="142"/>
      <c r="D21" s="46"/>
      <c r="E21" s="21"/>
    </row>
    <row r="22" spans="1:5" ht="12.75">
      <c r="A22" s="131" t="s">
        <v>752</v>
      </c>
      <c r="B22" s="132"/>
      <c r="C22" s="132"/>
      <c r="D22" s="44"/>
      <c r="E22" s="45">
        <f>0.298*5800*1.75*1.203*12</f>
        <v>43664.5692</v>
      </c>
    </row>
    <row r="23" spans="1:5" ht="12.75">
      <c r="A23" s="122" t="s">
        <v>757</v>
      </c>
      <c r="B23" s="123"/>
      <c r="C23" s="123"/>
      <c r="D23" s="21"/>
      <c r="E23" s="26">
        <f>0.012*A13*12</f>
        <v>463.14720000000005</v>
      </c>
    </row>
    <row r="24" spans="1:5" ht="12.75">
      <c r="A24" s="122" t="s">
        <v>758</v>
      </c>
      <c r="B24" s="123"/>
      <c r="C24" s="123"/>
      <c r="D24" s="21"/>
      <c r="E24" s="26">
        <f>0.014*A13*12</f>
        <v>540.3384000000001</v>
      </c>
    </row>
    <row r="25" spans="1:5" ht="12.75">
      <c r="A25" s="122" t="s">
        <v>759</v>
      </c>
      <c r="B25" s="123"/>
      <c r="C25" s="123"/>
      <c r="D25" s="133"/>
      <c r="E25" s="27">
        <f>0.06*A13*12</f>
        <v>2315.736</v>
      </c>
    </row>
    <row r="26" spans="1:5" ht="12.75">
      <c r="A26" s="129" t="s">
        <v>236</v>
      </c>
      <c r="B26" s="130"/>
      <c r="C26" s="130"/>
      <c r="D26" s="21"/>
      <c r="E26" s="19">
        <f>E27+E28+E29+E30+E31+E33+E32</f>
        <v>72499.49320000001</v>
      </c>
    </row>
    <row r="27" spans="1:5" ht="12.75">
      <c r="A27" s="122" t="s">
        <v>753</v>
      </c>
      <c r="B27" s="123"/>
      <c r="C27" s="123"/>
      <c r="D27" s="21"/>
      <c r="E27" s="26">
        <f>158*1.5*101.01</f>
        <v>23939.370000000003</v>
      </c>
    </row>
    <row r="28" spans="1:5" ht="12.75">
      <c r="A28" s="122" t="s">
        <v>760</v>
      </c>
      <c r="B28" s="123"/>
      <c r="C28" s="123"/>
      <c r="D28" s="21"/>
      <c r="E28" s="26">
        <f>1.5*158*35.02</f>
        <v>8299.740000000002</v>
      </c>
    </row>
    <row r="29" spans="1:5" ht="12.75">
      <c r="A29" s="122" t="s">
        <v>761</v>
      </c>
      <c r="B29" s="123"/>
      <c r="C29" s="123"/>
      <c r="D29" s="21"/>
      <c r="E29" s="27">
        <f>7900*2.73</f>
        <v>21567</v>
      </c>
    </row>
    <row r="30" spans="1:5" ht="12.75">
      <c r="A30" s="122" t="s">
        <v>754</v>
      </c>
      <c r="B30" s="123"/>
      <c r="C30" s="123"/>
      <c r="D30" s="21"/>
      <c r="E30" s="26">
        <f>0.002*A13*12</f>
        <v>77.19120000000001</v>
      </c>
    </row>
    <row r="31" spans="1:5" ht="12.75">
      <c r="A31" s="122" t="s">
        <v>755</v>
      </c>
      <c r="B31" s="123"/>
      <c r="C31" s="123"/>
      <c r="D31" s="21"/>
      <c r="E31" s="26">
        <f>0.32*A13*12</f>
        <v>12350.592</v>
      </c>
    </row>
    <row r="32" spans="1:5" ht="12.75" customHeight="1">
      <c r="A32" s="122" t="s">
        <v>730</v>
      </c>
      <c r="B32" s="123"/>
      <c r="C32" s="123"/>
      <c r="D32" s="21"/>
      <c r="E32" s="26">
        <f>80*6.08+80*18.06*4</f>
        <v>6265.599999999999</v>
      </c>
    </row>
    <row r="33" spans="1:5" ht="12.75">
      <c r="A33" s="28" t="s">
        <v>249</v>
      </c>
      <c r="B33" s="29"/>
      <c r="C33" s="29"/>
      <c r="D33" s="21"/>
      <c r="E33" s="6"/>
    </row>
    <row r="34" spans="1:5" ht="12.75">
      <c r="A34" s="124" t="s">
        <v>252</v>
      </c>
      <c r="B34" s="125"/>
      <c r="C34" s="125"/>
      <c r="D34" s="30"/>
      <c r="E34" s="9">
        <v>165465</v>
      </c>
    </row>
    <row r="35" spans="1:5" ht="12.75">
      <c r="A35" s="53" t="s">
        <v>265</v>
      </c>
      <c r="B35" s="54"/>
      <c r="C35" s="54" t="s">
        <v>762</v>
      </c>
      <c r="D35" s="30"/>
      <c r="E35" s="19">
        <f>0.81*A13*12</f>
        <v>31262.436000000005</v>
      </c>
    </row>
    <row r="36" spans="1:5" ht="12.75">
      <c r="A36" s="143" t="s">
        <v>763</v>
      </c>
      <c r="B36" s="144"/>
      <c r="C36" s="144"/>
      <c r="D36" s="30"/>
      <c r="E36" s="19">
        <f>1.63*A13*12</f>
        <v>62910.827999999994</v>
      </c>
    </row>
    <row r="37" spans="1:5" ht="12.75">
      <c r="A37" s="36" t="s">
        <v>215</v>
      </c>
      <c r="B37" s="37"/>
      <c r="C37" s="37" t="s">
        <v>756</v>
      </c>
      <c r="D37" s="38"/>
      <c r="E37" s="9">
        <f>0.003*A13*12</f>
        <v>115.78680000000001</v>
      </c>
    </row>
    <row r="38" spans="1:5" ht="12.75">
      <c r="A38" s="118" t="s">
        <v>335</v>
      </c>
      <c r="B38" s="119"/>
      <c r="C38" s="119"/>
      <c r="D38" s="30"/>
      <c r="E38" s="9">
        <f>E37+E36+E35+E34+E26+E20</f>
        <v>379237.3348</v>
      </c>
    </row>
    <row r="39" spans="1:5" ht="12.75" customHeight="1">
      <c r="A39" s="120" t="s">
        <v>430</v>
      </c>
      <c r="B39" s="121"/>
      <c r="C39" s="121"/>
      <c r="D39" s="30"/>
      <c r="E39" s="20">
        <f>E38*0.06</f>
        <v>22754.240088</v>
      </c>
    </row>
    <row r="40" spans="1:5" ht="12.75" customHeight="1">
      <c r="A40" s="127" t="s">
        <v>155</v>
      </c>
      <c r="B40" s="128"/>
      <c r="C40" s="114"/>
      <c r="D40" s="30"/>
      <c r="E40" s="20">
        <f>(E38+E39)*0.01</f>
        <v>4019.9157488800006</v>
      </c>
    </row>
    <row r="41" spans="1:5" ht="12.75">
      <c r="A41" s="118" t="s">
        <v>257</v>
      </c>
      <c r="B41" s="119"/>
      <c r="C41" s="119"/>
      <c r="D41" s="30"/>
      <c r="E41" s="9">
        <f>SUM(E38:E40)</f>
        <v>406011.49063688004</v>
      </c>
    </row>
    <row r="42" spans="1:5" ht="12.75">
      <c r="A42" s="8" t="s">
        <v>248</v>
      </c>
      <c r="B42" s="39"/>
      <c r="C42" s="40"/>
      <c r="D42" s="9" t="s">
        <v>237</v>
      </c>
      <c r="E42" s="113">
        <f>E41/A13/12</f>
        <v>10.51963152890174</v>
      </c>
    </row>
    <row r="43" spans="1:5" ht="12.75">
      <c r="A43" s="11"/>
      <c r="B43" s="12"/>
      <c r="C43" s="13"/>
      <c r="D43" s="13"/>
      <c r="E43" s="1"/>
    </row>
  </sheetData>
  <sheetProtection/>
  <mergeCells count="23">
    <mergeCell ref="A19:C19"/>
    <mergeCell ref="A21:C21"/>
    <mergeCell ref="A22:C22"/>
    <mergeCell ref="A23:C23"/>
    <mergeCell ref="A6:E6"/>
    <mergeCell ref="A11:E11"/>
    <mergeCell ref="A15:A16"/>
    <mergeCell ref="C15:C16"/>
    <mergeCell ref="A28:C28"/>
    <mergeCell ref="A29:C29"/>
    <mergeCell ref="A30:C30"/>
    <mergeCell ref="A31:C31"/>
    <mergeCell ref="A24:C24"/>
    <mergeCell ref="A25:D25"/>
    <mergeCell ref="A26:C26"/>
    <mergeCell ref="A27:C27"/>
    <mergeCell ref="A39:C39"/>
    <mergeCell ref="A40:B40"/>
    <mergeCell ref="A41:C41"/>
    <mergeCell ref="A32:C32"/>
    <mergeCell ref="A34:C34"/>
    <mergeCell ref="A36:C36"/>
    <mergeCell ref="A38:C38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17.875" style="0" customWidth="1"/>
    <col min="2" max="2" width="20.375" style="0" customWidth="1"/>
    <col min="3" max="3" width="14.00390625" style="0" customWidth="1"/>
    <col min="4" max="4" width="16.25390625" style="0" customWidth="1"/>
    <col min="5" max="5" width="13.7539062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381</v>
      </c>
      <c r="D3" s="55"/>
    </row>
    <row r="6" spans="1:5" ht="23.25" customHeight="1">
      <c r="A6" s="134" t="s">
        <v>365</v>
      </c>
      <c r="B6" s="135"/>
      <c r="C6" s="135"/>
      <c r="D6" s="135"/>
      <c r="E6" s="135"/>
    </row>
    <row r="7" spans="1:5" ht="15.75">
      <c r="A7" s="2" t="s">
        <v>237</v>
      </c>
      <c r="B7" s="2"/>
      <c r="C7" s="1"/>
      <c r="D7" s="1"/>
      <c r="E7" s="1"/>
    </row>
    <row r="8" spans="1:5" ht="14.25">
      <c r="A8" s="3" t="s">
        <v>383</v>
      </c>
      <c r="B8" s="1"/>
      <c r="C8" s="1"/>
      <c r="D8" s="1"/>
      <c r="E8" s="1"/>
    </row>
    <row r="9" spans="1:5" ht="14.25">
      <c r="A9" s="3"/>
      <c r="B9" s="1"/>
      <c r="C9" s="1"/>
      <c r="D9" s="1"/>
      <c r="E9" s="1"/>
    </row>
    <row r="10" spans="1:5" ht="12.75">
      <c r="A10" s="136" t="s">
        <v>240</v>
      </c>
      <c r="B10" s="137"/>
      <c r="C10" s="137"/>
      <c r="D10" s="137"/>
      <c r="E10" s="138"/>
    </row>
    <row r="11" spans="1: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</row>
    <row r="12" spans="1:5" ht="14.25">
      <c r="A12" s="51">
        <v>2050.9</v>
      </c>
      <c r="B12" s="49">
        <v>237.2</v>
      </c>
      <c r="C12" s="49">
        <v>566.5</v>
      </c>
      <c r="D12" s="49"/>
      <c r="E12" s="7">
        <v>863.9</v>
      </c>
    </row>
    <row r="13" spans="1:5" ht="14.25">
      <c r="A13" s="3"/>
      <c r="B13" s="1"/>
      <c r="C13" s="1"/>
      <c r="D13" s="1"/>
      <c r="E13" s="1"/>
    </row>
    <row r="14" spans="1:5" ht="12.75">
      <c r="A14" s="145" t="s">
        <v>245</v>
      </c>
      <c r="B14" s="50" t="s">
        <v>384</v>
      </c>
      <c r="C14" s="147" t="s">
        <v>385</v>
      </c>
      <c r="D14" s="22"/>
      <c r="E14" s="1"/>
    </row>
    <row r="15" spans="1:5" ht="12.75">
      <c r="A15" s="151"/>
      <c r="B15" s="50" t="s">
        <v>386</v>
      </c>
      <c r="C15" s="151"/>
      <c r="D15" s="1"/>
      <c r="E15" s="1"/>
    </row>
    <row r="16" spans="1:5" ht="12.75">
      <c r="A16" s="4"/>
      <c r="B16" s="1"/>
      <c r="C16" s="1"/>
      <c r="D16" s="1"/>
      <c r="E16" s="1"/>
    </row>
    <row r="17" spans="1:5" ht="12.75">
      <c r="A17" s="139" t="s">
        <v>234</v>
      </c>
      <c r="B17" s="140"/>
      <c r="C17" s="140"/>
      <c r="D17" s="47"/>
      <c r="E17" s="48" t="s">
        <v>238</v>
      </c>
    </row>
    <row r="18" spans="1:5" ht="12.75">
      <c r="A18" s="41" t="s">
        <v>235</v>
      </c>
      <c r="B18" s="42"/>
      <c r="C18" s="42"/>
      <c r="D18" s="43"/>
      <c r="E18" s="24">
        <f>E20+E21+E22+E23</f>
        <v>32886.8628</v>
      </c>
    </row>
    <row r="19" spans="1:5" ht="12.75">
      <c r="A19" s="141" t="s">
        <v>246</v>
      </c>
      <c r="B19" s="142"/>
      <c r="C19" s="142"/>
      <c r="D19" s="46"/>
      <c r="E19" s="21"/>
    </row>
    <row r="20" spans="1:5" ht="12.75">
      <c r="A20" s="131" t="s">
        <v>69</v>
      </c>
      <c r="B20" s="132"/>
      <c r="C20" s="132"/>
      <c r="D20" s="44"/>
      <c r="E20" s="45">
        <f>0.21*5800*1.75*1.203*12</f>
        <v>30770.334000000003</v>
      </c>
    </row>
    <row r="21" spans="1:5" ht="12.75">
      <c r="A21" s="122" t="s">
        <v>70</v>
      </c>
      <c r="B21" s="123"/>
      <c r="C21" s="123"/>
      <c r="D21" s="21"/>
      <c r="E21" s="26">
        <f>0.012*A12*12</f>
        <v>295.3296</v>
      </c>
    </row>
    <row r="22" spans="1:5" ht="12.75">
      <c r="A22" s="122" t="s">
        <v>71</v>
      </c>
      <c r="B22" s="123"/>
      <c r="C22" s="123"/>
      <c r="D22" s="21"/>
      <c r="E22" s="26">
        <f>0.014*A12*12</f>
        <v>344.5512</v>
      </c>
    </row>
    <row r="23" spans="1:5" ht="12.75">
      <c r="A23" s="122" t="s">
        <v>72</v>
      </c>
      <c r="B23" s="123"/>
      <c r="C23" s="123"/>
      <c r="D23" s="133"/>
      <c r="E23" s="27">
        <f>0.06*A12*12</f>
        <v>1476.6480000000001</v>
      </c>
    </row>
    <row r="24" spans="1:5" ht="12.75">
      <c r="A24" s="129" t="s">
        <v>236</v>
      </c>
      <c r="B24" s="130"/>
      <c r="C24" s="130"/>
      <c r="D24" s="21"/>
      <c r="E24" s="19">
        <f>E25+E26+E27+E28+E29+E30+E31</f>
        <v>33736.0686</v>
      </c>
    </row>
    <row r="25" spans="1:5" ht="12.75">
      <c r="A25" s="122" t="s">
        <v>73</v>
      </c>
      <c r="B25" s="123"/>
      <c r="C25" s="123"/>
      <c r="D25" s="21"/>
      <c r="E25" s="26">
        <f>63*1.5*101.01</f>
        <v>9545.445</v>
      </c>
    </row>
    <row r="26" spans="1:5" ht="12.75">
      <c r="A26" s="122" t="s">
        <v>74</v>
      </c>
      <c r="B26" s="123"/>
      <c r="C26" s="123"/>
      <c r="D26" s="21"/>
      <c r="E26" s="26">
        <f>63*1.5*35.02</f>
        <v>3309.3900000000003</v>
      </c>
    </row>
    <row r="27" spans="1:5" ht="12.75">
      <c r="A27" s="122" t="s">
        <v>322</v>
      </c>
      <c r="B27" s="123"/>
      <c r="C27" s="123"/>
      <c r="D27" s="21"/>
      <c r="E27" s="27">
        <f>4400*2.73</f>
        <v>12012</v>
      </c>
    </row>
    <row r="28" spans="1:5" ht="12.75">
      <c r="A28" s="122" t="s">
        <v>387</v>
      </c>
      <c r="B28" s="123"/>
      <c r="C28" s="123"/>
      <c r="D28" s="21"/>
      <c r="E28" s="26">
        <f>0.002*A12*12</f>
        <v>49.221599999999995</v>
      </c>
    </row>
    <row r="29" spans="1:5" ht="12.75">
      <c r="A29" s="122" t="s">
        <v>388</v>
      </c>
      <c r="B29" s="123"/>
      <c r="C29" s="123"/>
      <c r="D29" s="21"/>
      <c r="E29" s="26">
        <f>0.29*A12*12</f>
        <v>7137.132</v>
      </c>
    </row>
    <row r="30" spans="1:5" ht="12.75">
      <c r="A30" s="122" t="s">
        <v>75</v>
      </c>
      <c r="B30" s="123"/>
      <c r="C30" s="123"/>
      <c r="D30" s="21"/>
      <c r="E30" s="27">
        <f>24*5.44+24*16.17*4</f>
        <v>1682.88</v>
      </c>
    </row>
    <row r="31" spans="1:5" ht="12.75">
      <c r="A31" s="28" t="s">
        <v>249</v>
      </c>
      <c r="B31" s="29" t="s">
        <v>268</v>
      </c>
      <c r="C31" s="29"/>
      <c r="D31" s="21"/>
      <c r="E31" s="6"/>
    </row>
    <row r="32" spans="1:5" ht="12.75">
      <c r="A32" s="124" t="s">
        <v>252</v>
      </c>
      <c r="B32" s="125"/>
      <c r="C32" s="125"/>
      <c r="D32" s="30"/>
      <c r="E32" s="9">
        <v>104970</v>
      </c>
    </row>
    <row r="33" spans="1:5" ht="12.75">
      <c r="A33" s="53" t="s">
        <v>265</v>
      </c>
      <c r="B33" s="54"/>
      <c r="C33" s="54" t="s">
        <v>76</v>
      </c>
      <c r="D33" s="30"/>
      <c r="E33" s="19">
        <f>0.81*A12*12</f>
        <v>19934.748000000003</v>
      </c>
    </row>
    <row r="34" spans="1:5" ht="12.75">
      <c r="A34" s="143" t="s">
        <v>283</v>
      </c>
      <c r="B34" s="144"/>
      <c r="C34" s="144"/>
      <c r="D34" s="30" t="s">
        <v>77</v>
      </c>
      <c r="E34" s="19">
        <f>1.63*A12*12</f>
        <v>40115.604</v>
      </c>
    </row>
    <row r="35" spans="1:5" ht="12.75">
      <c r="A35" s="36" t="s">
        <v>255</v>
      </c>
      <c r="B35" s="37"/>
      <c r="C35" s="37" t="s">
        <v>389</v>
      </c>
      <c r="D35" s="38"/>
      <c r="E35" s="9">
        <f>0.003*A12*12</f>
        <v>73.8324</v>
      </c>
    </row>
    <row r="36" spans="1:5" ht="12.75">
      <c r="A36" s="118" t="s">
        <v>256</v>
      </c>
      <c r="B36" s="119"/>
      <c r="C36" s="119"/>
      <c r="D36" s="30"/>
      <c r="E36" s="9">
        <f>E35+E34+E33+E32+E24+E18</f>
        <v>231717.1158</v>
      </c>
    </row>
    <row r="37" spans="1:5" ht="12.75">
      <c r="A37" s="120" t="s">
        <v>364</v>
      </c>
      <c r="B37" s="121"/>
      <c r="C37" s="121"/>
      <c r="D37" s="30"/>
      <c r="E37" s="20">
        <f>E36*0.06</f>
        <v>13903.026947999999</v>
      </c>
    </row>
    <row r="38" spans="1:5" ht="12.75">
      <c r="A38" s="127" t="s">
        <v>544</v>
      </c>
      <c r="B38" s="128"/>
      <c r="C38" s="117"/>
      <c r="D38" s="112"/>
      <c r="E38" s="20">
        <f>(E36+E37)*0.01</f>
        <v>2456.20142748</v>
      </c>
    </row>
    <row r="39" spans="1:5" ht="12.75">
      <c r="A39" s="118" t="s">
        <v>257</v>
      </c>
      <c r="B39" s="119"/>
      <c r="C39" s="119"/>
      <c r="D39" s="30"/>
      <c r="E39" s="9">
        <f>SUM(E36:E38)</f>
        <v>248076.34417548</v>
      </c>
    </row>
    <row r="40" spans="1:5" ht="12.75">
      <c r="A40" s="8" t="s">
        <v>248</v>
      </c>
      <c r="B40" s="39"/>
      <c r="C40" s="40"/>
      <c r="D40" s="9" t="s">
        <v>237</v>
      </c>
      <c r="E40" s="113">
        <f>E39/A12/12</f>
        <v>10.079978878194938</v>
      </c>
    </row>
  </sheetData>
  <sheetProtection/>
  <mergeCells count="23">
    <mergeCell ref="A17:C17"/>
    <mergeCell ref="A19:C19"/>
    <mergeCell ref="A20:C20"/>
    <mergeCell ref="A21:C21"/>
    <mergeCell ref="A6:E6"/>
    <mergeCell ref="A10:E10"/>
    <mergeCell ref="A14:A15"/>
    <mergeCell ref="C14:C15"/>
    <mergeCell ref="A26:C26"/>
    <mergeCell ref="A27:C27"/>
    <mergeCell ref="A28:C28"/>
    <mergeCell ref="A29:C29"/>
    <mergeCell ref="A22:C22"/>
    <mergeCell ref="A23:D23"/>
    <mergeCell ref="A24:C24"/>
    <mergeCell ref="A25:C25"/>
    <mergeCell ref="A39:C39"/>
    <mergeCell ref="A30:C30"/>
    <mergeCell ref="A32:C32"/>
    <mergeCell ref="A38:B38"/>
    <mergeCell ref="A34:C34"/>
    <mergeCell ref="A36:C36"/>
    <mergeCell ref="A37:C37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E41" sqref="E41"/>
    </sheetView>
  </sheetViews>
  <sheetFormatPr defaultColWidth="12.75390625" defaultRowHeight="12.75"/>
  <cols>
    <col min="1" max="1" width="16.75390625" style="0" customWidth="1"/>
    <col min="2" max="2" width="21.875" style="0" customWidth="1"/>
    <col min="3" max="3" width="17.375" style="0" customWidth="1"/>
    <col min="4" max="4" width="14.125" style="0" customWidth="1"/>
    <col min="5" max="5" width="14.875" style="0" customWidth="1"/>
  </cols>
  <sheetData>
    <row r="1" spans="3:5" ht="12.75">
      <c r="C1" s="70" t="s">
        <v>251</v>
      </c>
      <c r="D1" s="70"/>
      <c r="E1" s="70"/>
    </row>
    <row r="2" spans="3:5" ht="12.75">
      <c r="C2" s="70" t="s">
        <v>382</v>
      </c>
      <c r="D2" s="70"/>
      <c r="E2" s="70"/>
    </row>
    <row r="3" spans="3:4" ht="15">
      <c r="C3" s="55" t="s">
        <v>205</v>
      </c>
      <c r="D3" s="55"/>
    </row>
    <row r="6" spans="1:15" ht="22.5" customHeight="1">
      <c r="A6" s="134" t="s">
        <v>365</v>
      </c>
      <c r="B6" s="135"/>
      <c r="C6" s="135"/>
      <c r="D6" s="135"/>
      <c r="E6" s="135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237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95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36" t="s">
        <v>240</v>
      </c>
      <c r="B10" s="137"/>
      <c r="C10" s="137"/>
      <c r="D10" s="137"/>
      <c r="E10" s="138"/>
      <c r="F10" s="25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51">
        <v>1958.7</v>
      </c>
      <c r="B12" s="49">
        <v>128.4</v>
      </c>
      <c r="C12" s="49">
        <v>834.6</v>
      </c>
      <c r="D12" s="49">
        <v>325</v>
      </c>
      <c r="E12" s="7">
        <v>1025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45" t="s">
        <v>245</v>
      </c>
      <c r="B14" s="50" t="s">
        <v>96</v>
      </c>
      <c r="C14" s="147" t="s">
        <v>97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88"/>
      <c r="B15" t="s">
        <v>98</v>
      </c>
      <c r="C15" s="189"/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51"/>
      <c r="B16" s="50" t="s">
        <v>99</v>
      </c>
      <c r="C16" s="15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7" customHeight="1">
      <c r="A18" s="139" t="s">
        <v>234</v>
      </c>
      <c r="B18" s="140"/>
      <c r="C18" s="140"/>
      <c r="D18" s="47"/>
      <c r="E18" s="48" t="s">
        <v>238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41" t="s">
        <v>235</v>
      </c>
      <c r="B19" s="42"/>
      <c r="C19" s="42"/>
      <c r="D19" s="43"/>
      <c r="E19" s="24">
        <f>E21+E22+E23+E24</f>
        <v>65027.30040000001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41" t="s">
        <v>246</v>
      </c>
      <c r="B20" s="142"/>
      <c r="C20" s="142"/>
      <c r="D20" s="46"/>
      <c r="E20" s="2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31" t="s">
        <v>100</v>
      </c>
      <c r="B21" s="132"/>
      <c r="C21" s="132"/>
      <c r="D21" s="44"/>
      <c r="E21" s="45">
        <f>0.43*5800*1.75*1.203*12</f>
        <v>63005.922000000006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22" t="s">
        <v>104</v>
      </c>
      <c r="B22" s="123"/>
      <c r="C22" s="123"/>
      <c r="D22" s="21"/>
      <c r="E22" s="26">
        <f>0.012*A12*12</f>
        <v>282.0528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22" t="s">
        <v>105</v>
      </c>
      <c r="B23" s="123"/>
      <c r="C23" s="123"/>
      <c r="D23" s="21"/>
      <c r="E23" s="26">
        <f>0.014*A12*12</f>
        <v>329.0616</v>
      </c>
      <c r="F23" s="1"/>
      <c r="G23" s="52"/>
      <c r="H23" s="1"/>
      <c r="I23" s="1"/>
      <c r="J23" s="1"/>
      <c r="K23" s="1"/>
      <c r="L23" s="1"/>
      <c r="M23" s="1"/>
      <c r="N23" s="1"/>
      <c r="O23" s="1"/>
    </row>
    <row r="24" spans="1:15" ht="12.75">
      <c r="A24" s="122" t="s">
        <v>106</v>
      </c>
      <c r="B24" s="123"/>
      <c r="C24" s="123"/>
      <c r="D24" s="133"/>
      <c r="E24" s="27">
        <f>0.06*A12*12</f>
        <v>1410.264</v>
      </c>
      <c r="F24" s="1"/>
      <c r="G24" s="52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29" t="s">
        <v>236</v>
      </c>
      <c r="B25" s="130"/>
      <c r="C25" s="130"/>
      <c r="D25" s="21"/>
      <c r="E25" s="19">
        <f>E26+E27+E28+E29+E31+E32+E33+E30</f>
        <v>23619.022800000002</v>
      </c>
      <c r="F25" s="1"/>
      <c r="G25" s="1"/>
      <c r="H25" s="1"/>
      <c r="I25" s="52"/>
      <c r="J25" s="1"/>
      <c r="K25" s="1"/>
      <c r="L25" s="1"/>
      <c r="M25" s="1"/>
      <c r="N25" s="1"/>
      <c r="O25" s="1"/>
    </row>
    <row r="26" spans="1:15" ht="12.75" customHeight="1">
      <c r="A26" s="122" t="s">
        <v>101</v>
      </c>
      <c r="B26" s="123"/>
      <c r="C26" s="123"/>
      <c r="D26" s="21"/>
      <c r="E26" s="26">
        <f>42*1.5*101.01</f>
        <v>6363.63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22" t="s">
        <v>107</v>
      </c>
      <c r="B27" s="123"/>
      <c r="C27" s="123"/>
      <c r="D27" s="21"/>
      <c r="E27" s="26">
        <f>42*1.5*35.02</f>
        <v>2206.26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22" t="s">
        <v>108</v>
      </c>
      <c r="B28" s="123"/>
      <c r="C28" s="123"/>
      <c r="D28" s="21"/>
      <c r="E28" s="27">
        <f>2100*2.73</f>
        <v>5733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22" t="s">
        <v>102</v>
      </c>
      <c r="B29" s="123"/>
      <c r="C29" s="123"/>
      <c r="D29" s="21"/>
      <c r="E29" s="26">
        <f>0.002*A12*12</f>
        <v>47.0088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22" t="s">
        <v>109</v>
      </c>
      <c r="B30" s="123"/>
      <c r="C30" s="123"/>
      <c r="D30" s="21"/>
      <c r="E30" s="26">
        <f>1.44*534.7</f>
        <v>769.9680000000001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22" t="s">
        <v>110</v>
      </c>
      <c r="B31" s="123"/>
      <c r="C31" s="123"/>
      <c r="D31" s="21"/>
      <c r="E31" s="26">
        <f>0.29*A12*12</f>
        <v>6816.276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22" t="s">
        <v>75</v>
      </c>
      <c r="B32" s="123"/>
      <c r="C32" s="123"/>
      <c r="D32" s="21"/>
      <c r="E32" s="27">
        <f>24*5.44+24*16.17*4</f>
        <v>1682.88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28" t="s">
        <v>249</v>
      </c>
      <c r="B33" s="29" t="s">
        <v>268</v>
      </c>
      <c r="C33" s="29"/>
      <c r="D33" s="21"/>
      <c r="E33" s="6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24" t="s">
        <v>252</v>
      </c>
      <c r="B34" s="125"/>
      <c r="C34" s="125"/>
      <c r="D34" s="30"/>
      <c r="E34" s="9">
        <v>84900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53" t="s">
        <v>265</v>
      </c>
      <c r="B35" s="54"/>
      <c r="C35" s="54" t="s">
        <v>111</v>
      </c>
      <c r="D35" s="30"/>
      <c r="E35" s="19">
        <f>0.81*A12*12</f>
        <v>19038.564000000002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43" t="s">
        <v>283</v>
      </c>
      <c r="B36" s="144"/>
      <c r="C36" s="144"/>
      <c r="D36" s="30" t="s">
        <v>112</v>
      </c>
      <c r="E36" s="19">
        <f>1.63*A12*12</f>
        <v>38312.172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36" t="s">
        <v>255</v>
      </c>
      <c r="B37" s="37"/>
      <c r="C37" s="37" t="s">
        <v>103</v>
      </c>
      <c r="D37" s="38"/>
      <c r="E37" s="9">
        <f>0.003*A12*12</f>
        <v>70.5132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18" t="s">
        <v>256</v>
      </c>
      <c r="B38" s="119"/>
      <c r="C38" s="119"/>
      <c r="D38" s="30"/>
      <c r="E38" s="9">
        <f>E37+E36+E35+E34+E25+E19</f>
        <v>230967.57240000003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 customHeight="1">
      <c r="A39" s="120" t="s">
        <v>364</v>
      </c>
      <c r="B39" s="121"/>
      <c r="C39" s="121"/>
      <c r="D39" s="30"/>
      <c r="E39" s="20">
        <f>E38*0.06</f>
        <v>13858.054344000002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 customHeight="1">
      <c r="A40" s="127" t="s">
        <v>544</v>
      </c>
      <c r="B40" s="128"/>
      <c r="C40" s="114"/>
      <c r="D40" s="30"/>
      <c r="E40" s="20">
        <f>(E38+E39)*0.01</f>
        <v>2448.2562674400006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18" t="s">
        <v>257</v>
      </c>
      <c r="B41" s="119"/>
      <c r="C41" s="119"/>
      <c r="D41" s="30"/>
      <c r="E41" s="9">
        <f>SUM(E38:E40)</f>
        <v>247273.88301144005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8" t="s">
        <v>248</v>
      </c>
      <c r="B42" s="39"/>
      <c r="C42" s="40"/>
      <c r="D42" s="9" t="s">
        <v>237</v>
      </c>
      <c r="E42" s="113">
        <f>E41/A12/12</f>
        <v>10.52032313147496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1"/>
      <c r="B43" s="12"/>
      <c r="C43" s="13"/>
      <c r="D43" s="1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5"/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62"/>
      <c r="B45" s="15"/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7"/>
      <c r="B46" s="15"/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 t="s">
        <v>237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sheetProtection/>
  <mergeCells count="24">
    <mergeCell ref="A34:C34"/>
    <mergeCell ref="A36:C36"/>
    <mergeCell ref="A38:C38"/>
    <mergeCell ref="A39:C39"/>
    <mergeCell ref="A40:B40"/>
    <mergeCell ref="A41:C41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D24"/>
    <mergeCell ref="A25:C25"/>
    <mergeCell ref="A26:C26"/>
    <mergeCell ref="A6:E6"/>
    <mergeCell ref="A10:E10"/>
    <mergeCell ref="A14:A16"/>
    <mergeCell ref="C14:C16"/>
    <mergeCell ref="A18:C18"/>
    <mergeCell ref="A20:C20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39" sqref="A39:E39"/>
    </sheetView>
  </sheetViews>
  <sheetFormatPr defaultColWidth="12.75390625" defaultRowHeight="12.75"/>
  <cols>
    <col min="1" max="1" width="16.75390625" style="0" customWidth="1"/>
    <col min="2" max="2" width="21.875" style="0" customWidth="1"/>
    <col min="3" max="3" width="17.375" style="0" customWidth="1"/>
    <col min="4" max="4" width="14.125" style="0" customWidth="1"/>
    <col min="5" max="5" width="14.87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205</v>
      </c>
      <c r="D3" s="55"/>
    </row>
    <row r="6" spans="1:15" ht="22.5" customHeight="1">
      <c r="A6" s="134" t="s">
        <v>365</v>
      </c>
      <c r="B6" s="135"/>
      <c r="C6" s="135"/>
      <c r="D6" s="135"/>
      <c r="E6" s="135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2" t="s">
        <v>237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 t="s">
        <v>91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36" t="s">
        <v>240</v>
      </c>
      <c r="B10" s="137"/>
      <c r="C10" s="137"/>
      <c r="D10" s="137"/>
      <c r="E10" s="138"/>
      <c r="F10" s="25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51">
        <v>3033.4</v>
      </c>
      <c r="B12" s="49">
        <v>335.6</v>
      </c>
      <c r="C12" s="49">
        <v>831.7</v>
      </c>
      <c r="D12" s="49">
        <v>375</v>
      </c>
      <c r="E12" s="7">
        <v>2278.2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145" t="s">
        <v>245</v>
      </c>
      <c r="B14" s="50" t="s">
        <v>259</v>
      </c>
      <c r="C14" s="147" t="s">
        <v>258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88"/>
      <c r="B15" t="s">
        <v>260</v>
      </c>
      <c r="C15" s="189"/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51"/>
      <c r="B16" s="50" t="s">
        <v>261</v>
      </c>
      <c r="C16" s="15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7" customHeight="1">
      <c r="A18" s="139" t="s">
        <v>234</v>
      </c>
      <c r="B18" s="140"/>
      <c r="C18" s="140"/>
      <c r="D18" s="47"/>
      <c r="E18" s="48" t="s">
        <v>238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41" t="s">
        <v>235</v>
      </c>
      <c r="B19" s="42"/>
      <c r="C19" s="42"/>
      <c r="D19" s="43"/>
      <c r="E19" s="24">
        <f>E21+E22+E23+E24</f>
        <v>73462.6608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41" t="s">
        <v>246</v>
      </c>
      <c r="B20" s="142"/>
      <c r="C20" s="142"/>
      <c r="D20" s="46"/>
      <c r="E20" s="2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31" t="s">
        <v>78</v>
      </c>
      <c r="B21" s="132"/>
      <c r="C21" s="132"/>
      <c r="D21" s="44"/>
      <c r="E21" s="45">
        <f>0.48*5800*1.75*1.203*12</f>
        <v>70332.19200000001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22" t="s">
        <v>79</v>
      </c>
      <c r="B22" s="123"/>
      <c r="C22" s="123"/>
      <c r="D22" s="21"/>
      <c r="E22" s="26">
        <f>0.012*A12*12</f>
        <v>436.80960000000005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22" t="s">
        <v>310</v>
      </c>
      <c r="B23" s="123"/>
      <c r="C23" s="123"/>
      <c r="D23" s="21"/>
      <c r="E23" s="26">
        <f>0.014*A12*12</f>
        <v>509.61120000000005</v>
      </c>
      <c r="F23" s="1"/>
      <c r="G23" s="52"/>
      <c r="H23" s="1"/>
      <c r="I23" s="1"/>
      <c r="J23" s="1"/>
      <c r="K23" s="1"/>
      <c r="L23" s="1"/>
      <c r="M23" s="1"/>
      <c r="N23" s="1"/>
      <c r="O23" s="1"/>
    </row>
    <row r="24" spans="1:15" ht="12.75">
      <c r="A24" s="122" t="s">
        <v>80</v>
      </c>
      <c r="B24" s="123"/>
      <c r="C24" s="123"/>
      <c r="D24" s="133"/>
      <c r="E24" s="27">
        <f>0.06*A12*12</f>
        <v>2184.048</v>
      </c>
      <c r="F24" s="1"/>
      <c r="G24" s="52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29" t="s">
        <v>236</v>
      </c>
      <c r="B25" s="130"/>
      <c r="C25" s="130"/>
      <c r="D25" s="21"/>
      <c r="E25" s="19">
        <f>E26+E27+E28+E29+E30+E31+E32</f>
        <v>68661.0036</v>
      </c>
      <c r="F25" s="1"/>
      <c r="G25" s="1"/>
      <c r="H25" s="1"/>
      <c r="I25" s="52"/>
      <c r="J25" s="1"/>
      <c r="K25" s="1"/>
      <c r="L25" s="1"/>
      <c r="M25" s="1"/>
      <c r="N25" s="1"/>
      <c r="O25" s="1"/>
    </row>
    <row r="26" spans="1:15" ht="12.75" customHeight="1">
      <c r="A26" s="122" t="s">
        <v>81</v>
      </c>
      <c r="B26" s="123"/>
      <c r="C26" s="123"/>
      <c r="D26" s="21"/>
      <c r="E26" s="26">
        <f>138*1.5*101.01</f>
        <v>20909.07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22" t="s">
        <v>311</v>
      </c>
      <c r="B27" s="123"/>
      <c r="C27" s="123"/>
      <c r="D27" s="21"/>
      <c r="E27" s="26">
        <f>207*35.02</f>
        <v>7249.14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22" t="s">
        <v>312</v>
      </c>
      <c r="B28" s="123"/>
      <c r="C28" s="123"/>
      <c r="D28" s="21"/>
      <c r="E28" s="27">
        <f>7600*2.73</f>
        <v>20748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22" t="s">
        <v>262</v>
      </c>
      <c r="B29" s="123"/>
      <c r="C29" s="123"/>
      <c r="D29" s="21"/>
      <c r="E29" s="26">
        <f>0.002*A12*12</f>
        <v>72.80160000000001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22" t="s">
        <v>263</v>
      </c>
      <c r="B30" s="123"/>
      <c r="C30" s="123"/>
      <c r="D30" s="21"/>
      <c r="E30" s="26">
        <f>0.29*A12*12</f>
        <v>10556.232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22" t="s">
        <v>326</v>
      </c>
      <c r="B31" s="123"/>
      <c r="C31" s="123"/>
      <c r="D31" s="21"/>
      <c r="E31" s="27">
        <f>48*5.44+48*16.17*4</f>
        <v>3365.76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28" t="s">
        <v>249</v>
      </c>
      <c r="B32" s="29" t="s">
        <v>313</v>
      </c>
      <c r="C32" s="29"/>
      <c r="D32" s="21"/>
      <c r="E32" s="6">
        <f>48*120</f>
        <v>5760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124" t="s">
        <v>252</v>
      </c>
      <c r="B33" s="125"/>
      <c r="C33" s="125"/>
      <c r="D33" s="30"/>
      <c r="E33" s="9">
        <v>126630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53" t="s">
        <v>265</v>
      </c>
      <c r="B34" s="54"/>
      <c r="C34" s="54" t="s">
        <v>82</v>
      </c>
      <c r="D34" s="30"/>
      <c r="E34" s="19">
        <f>0.81*A12*12</f>
        <v>29484.648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 customHeight="1">
      <c r="A35" s="143" t="s">
        <v>270</v>
      </c>
      <c r="B35" s="144"/>
      <c r="C35" s="144"/>
      <c r="D35" s="30" t="s">
        <v>83</v>
      </c>
      <c r="E35" s="19">
        <f>1.63*A12*12</f>
        <v>59333.304000000004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36" t="s">
        <v>255</v>
      </c>
      <c r="B36" s="37"/>
      <c r="C36" s="37" t="s">
        <v>264</v>
      </c>
      <c r="D36" s="38"/>
      <c r="E36" s="9">
        <f>0.003*A12*12</f>
        <v>109.20240000000001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18" t="s">
        <v>256</v>
      </c>
      <c r="B37" s="119"/>
      <c r="C37" s="119"/>
      <c r="D37" s="30"/>
      <c r="E37" s="9">
        <f>E36+E35+E34+E33+E25+E19</f>
        <v>357680.8188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20" t="s">
        <v>364</v>
      </c>
      <c r="B38" s="121"/>
      <c r="C38" s="121"/>
      <c r="D38" s="30"/>
      <c r="E38" s="20">
        <f>E37*0.06</f>
        <v>21460.849127999998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 customHeight="1">
      <c r="A39" s="127" t="s">
        <v>544</v>
      </c>
      <c r="B39" s="128"/>
      <c r="C39" s="117"/>
      <c r="D39" s="112"/>
      <c r="E39" s="20">
        <f>(E37+E38)*0.01</f>
        <v>3791.4166792799997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18" t="s">
        <v>257</v>
      </c>
      <c r="B40" s="119"/>
      <c r="C40" s="119"/>
      <c r="D40" s="30"/>
      <c r="E40" s="9">
        <f>SUM(E37:E39)</f>
        <v>382933.08460728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8" t="s">
        <v>248</v>
      </c>
      <c r="B41" s="39"/>
      <c r="C41" s="40"/>
      <c r="D41" s="9" t="s">
        <v>237</v>
      </c>
      <c r="E41" s="113">
        <f>E40/A12/12</f>
        <v>10.5199084802334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1"/>
      <c r="B42" s="12"/>
      <c r="C42" s="13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5"/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62"/>
      <c r="B44" s="15"/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7"/>
      <c r="B45" s="15"/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 t="s">
        <v>237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sheetProtection/>
  <mergeCells count="23">
    <mergeCell ref="A30:C30"/>
    <mergeCell ref="A31:C31"/>
    <mergeCell ref="A33:C33"/>
    <mergeCell ref="A40:C40"/>
    <mergeCell ref="A35:C35"/>
    <mergeCell ref="A37:C37"/>
    <mergeCell ref="A38:C38"/>
    <mergeCell ref="A39:B39"/>
    <mergeCell ref="A24:D24"/>
    <mergeCell ref="A25:C25"/>
    <mergeCell ref="A26:C26"/>
    <mergeCell ref="A27:C27"/>
    <mergeCell ref="A28:C28"/>
    <mergeCell ref="A29:C29"/>
    <mergeCell ref="A23:C23"/>
    <mergeCell ref="A18:C18"/>
    <mergeCell ref="A20:C20"/>
    <mergeCell ref="A21:C21"/>
    <mergeCell ref="A22:C22"/>
    <mergeCell ref="A6:E6"/>
    <mergeCell ref="A10:E10"/>
    <mergeCell ref="A14:A16"/>
    <mergeCell ref="C14:C16"/>
  </mergeCells>
  <printOptions/>
  <pageMargins left="0.75" right="0.2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E34" sqref="E34"/>
    </sheetView>
  </sheetViews>
  <sheetFormatPr defaultColWidth="12.75390625" defaultRowHeight="12.75"/>
  <cols>
    <col min="1" max="1" width="16.75390625" style="0" customWidth="1"/>
    <col min="2" max="2" width="20.00390625" style="0" customWidth="1"/>
    <col min="3" max="3" width="16.625" style="0" customWidth="1"/>
  </cols>
  <sheetData>
    <row r="1" spans="3:5" ht="12.75">
      <c r="C1" s="70" t="s">
        <v>251</v>
      </c>
      <c r="D1" s="70"/>
      <c r="E1" s="70"/>
    </row>
    <row r="2" spans="3:5" ht="12.75">
      <c r="C2" s="70" t="s">
        <v>382</v>
      </c>
      <c r="D2" s="70"/>
      <c r="E2" s="70"/>
    </row>
    <row r="3" spans="3:5" ht="12.75">
      <c r="C3" s="70" t="s">
        <v>205</v>
      </c>
      <c r="D3" s="70"/>
      <c r="E3" s="70"/>
    </row>
    <row r="6" spans="1:14" ht="22.5" customHeight="1">
      <c r="A6" s="134" t="s">
        <v>365</v>
      </c>
      <c r="B6" s="135"/>
      <c r="C6" s="135"/>
      <c r="D6" s="135"/>
      <c r="E6" s="135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2" t="s">
        <v>237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4.25">
      <c r="A8" s="3" t="s">
        <v>207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 customHeight="1">
      <c r="A10" s="136" t="s">
        <v>240</v>
      </c>
      <c r="B10" s="137"/>
      <c r="C10" s="137"/>
      <c r="D10" s="137"/>
      <c r="E10" s="138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s="60" customFormat="1" ht="14.25">
      <c r="A12" s="58">
        <v>628.1</v>
      </c>
      <c r="B12" s="59">
        <v>47.6</v>
      </c>
      <c r="C12" s="59">
        <v>355</v>
      </c>
      <c r="D12" s="59"/>
      <c r="E12" s="59">
        <v>320.5</v>
      </c>
      <c r="F12" s="61"/>
      <c r="G12" s="61"/>
      <c r="H12" s="61"/>
      <c r="I12" s="61"/>
      <c r="J12" s="61"/>
      <c r="K12" s="61"/>
      <c r="L12" s="61"/>
      <c r="M12" s="61"/>
      <c r="N12" s="61"/>
    </row>
    <row r="13" spans="1:14" ht="14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 customHeight="1">
      <c r="A14" s="145" t="s">
        <v>245</v>
      </c>
      <c r="B14" s="10" t="s">
        <v>208</v>
      </c>
      <c r="C14" s="147" t="s">
        <v>210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 customHeight="1">
      <c r="A15" s="146"/>
      <c r="B15" s="10" t="s">
        <v>209</v>
      </c>
      <c r="C15" s="148"/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7" customHeight="1">
      <c r="A17" s="139" t="s">
        <v>234</v>
      </c>
      <c r="B17" s="140"/>
      <c r="C17" s="140"/>
      <c r="D17" s="47"/>
      <c r="E17" s="48" t="s">
        <v>238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2.75" customHeight="1">
      <c r="A18" s="41" t="s">
        <v>235</v>
      </c>
      <c r="B18" s="42"/>
      <c r="C18" s="42"/>
      <c r="D18" s="43"/>
      <c r="E18" s="24">
        <f>E20+E21+E22+E23</f>
        <v>18963.874200000002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2.75" customHeight="1">
      <c r="A19" s="141" t="s">
        <v>246</v>
      </c>
      <c r="B19" s="142"/>
      <c r="C19" s="142"/>
      <c r="D19" s="46"/>
      <c r="E19" s="2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 customHeight="1">
      <c r="A20" s="131" t="s">
        <v>459</v>
      </c>
      <c r="B20" s="132"/>
      <c r="C20" s="132"/>
      <c r="D20" s="44"/>
      <c r="E20" s="45">
        <f>0.125*5800*1.75*1.203*12</f>
        <v>18315.675000000003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22" t="s">
        <v>582</v>
      </c>
      <c r="B21" s="123"/>
      <c r="C21" s="123"/>
      <c r="D21" s="21"/>
      <c r="E21" s="26">
        <f>0.012*A12*12</f>
        <v>90.44640000000001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22" t="s">
        <v>583</v>
      </c>
      <c r="B22" s="123"/>
      <c r="C22" s="123"/>
      <c r="D22" s="21"/>
      <c r="E22" s="26">
        <f>0.014*A12*12</f>
        <v>105.52080000000001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22" t="s">
        <v>465</v>
      </c>
      <c r="B23" s="123"/>
      <c r="C23" s="123"/>
      <c r="D23" s="133"/>
      <c r="E23" s="27">
        <f>0.06*A12*12</f>
        <v>452.23199999999997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129" t="s">
        <v>236</v>
      </c>
      <c r="B24" s="130"/>
      <c r="C24" s="130"/>
      <c r="D24" s="21"/>
      <c r="E24" s="19">
        <f>E25+E26+E27+E28+E30+E31+E32+E29</f>
        <v>15118.67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2.75" customHeight="1">
      <c r="A25" s="122" t="s">
        <v>461</v>
      </c>
      <c r="B25" s="123"/>
      <c r="C25" s="123"/>
      <c r="D25" s="21"/>
      <c r="E25" s="26">
        <f>36*1.5*101.01</f>
        <v>5454.54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122" t="s">
        <v>462</v>
      </c>
      <c r="B26" s="123"/>
      <c r="C26" s="123"/>
      <c r="D26" s="21"/>
      <c r="E26" s="26">
        <f>36*1.5*35.02</f>
        <v>1891.0800000000002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22" t="s">
        <v>463</v>
      </c>
      <c r="B27" s="123"/>
      <c r="C27" s="123"/>
      <c r="D27" s="21"/>
      <c r="E27" s="27">
        <f>1400*2.73</f>
        <v>3822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122" t="s">
        <v>211</v>
      </c>
      <c r="B28" s="123"/>
      <c r="C28" s="123"/>
      <c r="D28" s="21"/>
      <c r="E28" s="26">
        <v>15.07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122" t="s">
        <v>464</v>
      </c>
      <c r="B29" s="123"/>
      <c r="C29" s="123"/>
      <c r="D29" s="21"/>
      <c r="E29" s="26">
        <f>1.44*436.3</f>
        <v>628.272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12.75" customHeight="1">
      <c r="A30" s="122" t="s">
        <v>212</v>
      </c>
      <c r="B30" s="123"/>
      <c r="C30" s="123"/>
      <c r="D30" s="21"/>
      <c r="E30" s="26">
        <f>0.29*A12*12</f>
        <v>2185.788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ht="12.75" customHeight="1">
      <c r="A31" s="122" t="s">
        <v>213</v>
      </c>
      <c r="B31" s="123"/>
      <c r="C31" s="123"/>
      <c r="D31" s="21"/>
      <c r="E31" s="27">
        <f>16*5.44+16*16.17*4</f>
        <v>1121.92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12.75" customHeight="1">
      <c r="A32" s="28" t="s">
        <v>269</v>
      </c>
      <c r="B32" s="29" t="s">
        <v>268</v>
      </c>
      <c r="C32" s="29"/>
      <c r="D32" s="21"/>
      <c r="E32" s="6"/>
      <c r="F32" s="1"/>
      <c r="G32" s="1"/>
      <c r="H32" s="1"/>
      <c r="I32" s="1"/>
      <c r="J32" s="1"/>
      <c r="K32" s="1"/>
      <c r="L32" s="1"/>
      <c r="M32" s="1"/>
      <c r="N32" s="1"/>
    </row>
    <row r="33" spans="1:14" ht="12.75" customHeight="1">
      <c r="A33" s="124" t="s">
        <v>252</v>
      </c>
      <c r="B33" s="125"/>
      <c r="C33" s="125"/>
      <c r="D33" s="30"/>
      <c r="E33" s="9">
        <v>21553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53" t="s">
        <v>265</v>
      </c>
      <c r="B34" s="54"/>
      <c r="C34" s="54" t="s">
        <v>584</v>
      </c>
      <c r="D34" s="30"/>
      <c r="E34" s="19">
        <f>0.81*A12*12</f>
        <v>6105.1320000000005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43" t="s">
        <v>214</v>
      </c>
      <c r="B35" s="144"/>
      <c r="C35" s="144"/>
      <c r="D35" s="30" t="s">
        <v>585</v>
      </c>
      <c r="E35" s="19">
        <f>1.63*A12*12</f>
        <v>12285.636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36" t="s">
        <v>215</v>
      </c>
      <c r="B36" s="37"/>
      <c r="C36" s="37" t="s">
        <v>216</v>
      </c>
      <c r="D36" s="38"/>
      <c r="E36" s="9">
        <f>0.003*A12*12</f>
        <v>22.611600000000003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2.75" customHeight="1">
      <c r="A37" s="118" t="s">
        <v>256</v>
      </c>
      <c r="B37" s="119"/>
      <c r="C37" s="119"/>
      <c r="D37" s="30"/>
      <c r="E37" s="9">
        <f>E36+E35+E34+E33+E24+E18</f>
        <v>74048.9238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2.75" customHeight="1">
      <c r="A38" s="120" t="s">
        <v>364</v>
      </c>
      <c r="B38" s="121"/>
      <c r="C38" s="121"/>
      <c r="D38" s="30"/>
      <c r="E38" s="20">
        <f>E37*0.06</f>
        <v>4442.935428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2.75" customHeight="1">
      <c r="A39" s="127" t="s">
        <v>544</v>
      </c>
      <c r="B39" s="128"/>
      <c r="C39" s="114"/>
      <c r="D39" s="30"/>
      <c r="E39" s="20">
        <f>(E37+E38)*0.01</f>
        <v>784.91859228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18" t="s">
        <v>257</v>
      </c>
      <c r="B40" s="119"/>
      <c r="C40" s="119"/>
      <c r="D40" s="30"/>
      <c r="E40" s="9">
        <f>SUM(E37:E39)</f>
        <v>79276.77782028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8" t="s">
        <v>248</v>
      </c>
      <c r="B41" s="39"/>
      <c r="C41" s="40"/>
      <c r="D41" s="9"/>
      <c r="E41" s="56">
        <f>E40/A12/12</f>
        <v>10.518067428259831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ht="12" customHeight="1">
      <c r="A42" s="11"/>
      <c r="B42" s="12"/>
      <c r="C42" s="13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 hidden="1">
      <c r="A43" s="11" t="s">
        <v>250</v>
      </c>
      <c r="B43" s="12"/>
      <c r="C43" s="99">
        <f>E35/E40</f>
        <v>0.15497143473529496</v>
      </c>
      <c r="D43" s="149" t="s">
        <v>266</v>
      </c>
      <c r="E43" s="150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1"/>
      <c r="B44" s="12"/>
      <c r="C44" s="14"/>
      <c r="D44" s="14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5"/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5"/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7"/>
      <c r="B47" s="15"/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 t="s">
        <v>237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25">
    <mergeCell ref="A17:C17"/>
    <mergeCell ref="A19:C19"/>
    <mergeCell ref="A20:C20"/>
    <mergeCell ref="A21:C21"/>
    <mergeCell ref="A6:E6"/>
    <mergeCell ref="A10:E10"/>
    <mergeCell ref="A14:A15"/>
    <mergeCell ref="C14:C15"/>
    <mergeCell ref="A26:C26"/>
    <mergeCell ref="A27:C27"/>
    <mergeCell ref="A28:C28"/>
    <mergeCell ref="A29:C29"/>
    <mergeCell ref="A22:C22"/>
    <mergeCell ref="A23:D23"/>
    <mergeCell ref="A24:C24"/>
    <mergeCell ref="A25:C25"/>
    <mergeCell ref="A37:C37"/>
    <mergeCell ref="A38:C38"/>
    <mergeCell ref="A40:C40"/>
    <mergeCell ref="D43:E43"/>
    <mergeCell ref="A39:B39"/>
    <mergeCell ref="A30:C30"/>
    <mergeCell ref="A31:C31"/>
    <mergeCell ref="A33:C33"/>
    <mergeCell ref="A35:C35"/>
  </mergeCells>
  <printOptions/>
  <pageMargins left="0.75" right="0.39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I21" sqref="I21"/>
    </sheetView>
  </sheetViews>
  <sheetFormatPr defaultColWidth="12.75390625" defaultRowHeight="12.75"/>
  <cols>
    <col min="1" max="1" width="16.75390625" style="0" customWidth="1"/>
    <col min="2" max="2" width="21.875" style="0" customWidth="1"/>
    <col min="3" max="3" width="17.375" style="0" customWidth="1"/>
    <col min="4" max="4" width="14.125" style="0" customWidth="1"/>
    <col min="5" max="5" width="14.875" style="0" customWidth="1"/>
  </cols>
  <sheetData>
    <row r="1" spans="3:5" ht="12.75">
      <c r="C1" s="70" t="s">
        <v>251</v>
      </c>
      <c r="D1" s="70"/>
      <c r="E1" s="70"/>
    </row>
    <row r="2" spans="3:5" ht="12.75">
      <c r="C2" s="70" t="s">
        <v>382</v>
      </c>
      <c r="D2" s="70"/>
      <c r="E2" s="70"/>
    </row>
    <row r="3" spans="3:4" ht="15">
      <c r="C3" s="55" t="s">
        <v>204</v>
      </c>
      <c r="D3" s="55"/>
    </row>
    <row r="4" spans="3:4" ht="15">
      <c r="C4" s="55" t="s">
        <v>205</v>
      </c>
      <c r="D4" s="55"/>
    </row>
    <row r="6" spans="6:15" ht="22.5" customHeight="1"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4" customHeight="1">
      <c r="A7" s="134" t="s">
        <v>365</v>
      </c>
      <c r="B7" s="135"/>
      <c r="C7" s="135"/>
      <c r="D7" s="135"/>
      <c r="E7" s="135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3" t="s">
        <v>130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4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 customHeight="1">
      <c r="A11" s="136" t="s">
        <v>240</v>
      </c>
      <c r="B11" s="137"/>
      <c r="C11" s="137"/>
      <c r="D11" s="137"/>
      <c r="E11" s="138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8" t="s">
        <v>241</v>
      </c>
      <c r="B12" s="18" t="s">
        <v>242</v>
      </c>
      <c r="C12" s="18" t="s">
        <v>243</v>
      </c>
      <c r="D12" s="18" t="s">
        <v>244</v>
      </c>
      <c r="E12" s="18" t="s">
        <v>239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51">
        <v>1666.9</v>
      </c>
      <c r="B13" s="49">
        <v>170.4</v>
      </c>
      <c r="C13" s="49">
        <v>1250</v>
      </c>
      <c r="D13" s="49">
        <v>470</v>
      </c>
      <c r="E13" s="7">
        <v>1025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4.2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>
      <c r="A15" s="145" t="s">
        <v>245</v>
      </c>
      <c r="B15" s="50" t="s">
        <v>113</v>
      </c>
      <c r="C15" s="147" t="s">
        <v>114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 customHeight="1">
      <c r="A16" s="188"/>
      <c r="B16" t="s">
        <v>115</v>
      </c>
      <c r="C16" s="189"/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51"/>
      <c r="B17" s="50" t="s">
        <v>99</v>
      </c>
      <c r="C17" s="15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7" customHeight="1">
      <c r="A19" s="139" t="s">
        <v>234</v>
      </c>
      <c r="B19" s="140"/>
      <c r="C19" s="140"/>
      <c r="D19" s="47"/>
      <c r="E19" s="48" t="s">
        <v>238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41" t="s">
        <v>235</v>
      </c>
      <c r="B20" s="42"/>
      <c r="C20" s="42"/>
      <c r="D20" s="43"/>
      <c r="E20" s="24">
        <f>E22+E23+E24+E25</f>
        <v>93673.13399999999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>
      <c r="A21" s="141" t="s">
        <v>246</v>
      </c>
      <c r="B21" s="142"/>
      <c r="C21" s="142"/>
      <c r="D21" s="46"/>
      <c r="E21" s="2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 customHeight="1">
      <c r="A22" s="131" t="s">
        <v>116</v>
      </c>
      <c r="B22" s="132"/>
      <c r="C22" s="132"/>
      <c r="D22" s="44"/>
      <c r="E22" s="45">
        <f>0.618*5800*1.75*1.203*12</f>
        <v>90552.6972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22" t="s">
        <v>121</v>
      </c>
      <c r="B23" s="123"/>
      <c r="C23" s="123"/>
      <c r="D23" s="21"/>
      <c r="E23" s="26">
        <f>0.012*A13*12</f>
        <v>240.0336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22" t="s">
        <v>122</v>
      </c>
      <c r="B24" s="123"/>
      <c r="C24" s="123"/>
      <c r="D24" s="21"/>
      <c r="E24" s="26">
        <f>0.014*A13*12</f>
        <v>280.0392</v>
      </c>
      <c r="F24" s="1"/>
      <c r="G24" s="52"/>
      <c r="H24" s="1"/>
      <c r="I24" s="1"/>
      <c r="J24" s="1"/>
      <c r="K24" s="1"/>
      <c r="L24" s="1"/>
      <c r="M24" s="1"/>
      <c r="N24" s="1"/>
      <c r="O24" s="1"/>
    </row>
    <row r="25" spans="1:15" ht="12.75">
      <c r="A25" s="122" t="s">
        <v>117</v>
      </c>
      <c r="B25" s="123"/>
      <c r="C25" s="123"/>
      <c r="D25" s="133"/>
      <c r="E25" s="27">
        <f>0.13*A13*12</f>
        <v>2600.3640000000005</v>
      </c>
      <c r="F25" s="1"/>
      <c r="G25" s="52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29" t="s">
        <v>236</v>
      </c>
      <c r="B26" s="130"/>
      <c r="C26" s="130"/>
      <c r="D26" s="21"/>
      <c r="E26" s="19">
        <f>E27+E28+E29+E30+E32+E33+E34+E31</f>
        <v>27842.398600000004</v>
      </c>
      <c r="F26" s="1"/>
      <c r="G26" s="1"/>
      <c r="H26" s="1"/>
      <c r="I26" s="52"/>
      <c r="J26" s="1"/>
      <c r="K26" s="1"/>
      <c r="L26" s="1"/>
      <c r="M26" s="1"/>
      <c r="N26" s="1"/>
      <c r="O26" s="1"/>
    </row>
    <row r="27" spans="1:15" ht="12.75" customHeight="1">
      <c r="A27" s="122" t="s">
        <v>118</v>
      </c>
      <c r="B27" s="123"/>
      <c r="C27" s="123"/>
      <c r="D27" s="21"/>
      <c r="E27" s="26">
        <f>57*1.5*101.01</f>
        <v>8636.355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22" t="s">
        <v>123</v>
      </c>
      <c r="B28" s="123"/>
      <c r="C28" s="123"/>
      <c r="D28" s="21"/>
      <c r="E28" s="26">
        <f>57*1.5*38.06</f>
        <v>3254.13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22" t="s">
        <v>124</v>
      </c>
      <c r="B29" s="123"/>
      <c r="C29" s="123"/>
      <c r="D29" s="21"/>
      <c r="E29" s="27">
        <f>2600*2.73</f>
        <v>7098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22" t="s">
        <v>119</v>
      </c>
      <c r="B30" s="123"/>
      <c r="C30" s="123"/>
      <c r="D30" s="21"/>
      <c r="E30" s="26">
        <f>0.002*A13*12</f>
        <v>40.0056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22" t="s">
        <v>125</v>
      </c>
      <c r="B31" s="123"/>
      <c r="C31" s="123"/>
      <c r="D31" s="21"/>
      <c r="E31" s="26">
        <f>1.44*582.9</f>
        <v>839.376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22" t="s">
        <v>126</v>
      </c>
      <c r="B32" s="123"/>
      <c r="C32" s="123"/>
      <c r="D32" s="21"/>
      <c r="E32" s="26">
        <f>0.29*A13*12</f>
        <v>5800.812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122" t="s">
        <v>127</v>
      </c>
      <c r="B33" s="123"/>
      <c r="C33" s="123"/>
      <c r="D33" s="21"/>
      <c r="E33" s="27">
        <f>31*5.44+31*16.17*4</f>
        <v>2173.7200000000003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28" t="s">
        <v>249</v>
      </c>
      <c r="B34" s="29" t="s">
        <v>268</v>
      </c>
      <c r="C34" s="29"/>
      <c r="D34" s="21"/>
      <c r="E34" s="6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 customHeight="1">
      <c r="A35" s="124" t="s">
        <v>252</v>
      </c>
      <c r="B35" s="125"/>
      <c r="C35" s="125"/>
      <c r="D35" s="30"/>
      <c r="E35" s="9">
        <v>26170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53" t="s">
        <v>265</v>
      </c>
      <c r="B36" s="54"/>
      <c r="C36" s="54" t="s">
        <v>128</v>
      </c>
      <c r="D36" s="30"/>
      <c r="E36" s="19">
        <f>0.81*A13*12</f>
        <v>16202.268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43" t="s">
        <v>283</v>
      </c>
      <c r="B37" s="144"/>
      <c r="C37" s="144"/>
      <c r="D37" s="30" t="s">
        <v>129</v>
      </c>
      <c r="E37" s="19">
        <f>1.63*A13*12</f>
        <v>32604.564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36" t="s">
        <v>255</v>
      </c>
      <c r="B38" s="37"/>
      <c r="C38" s="37" t="s">
        <v>120</v>
      </c>
      <c r="D38" s="38"/>
      <c r="E38" s="9">
        <f>0.003*A13*12</f>
        <v>60.0084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 customHeight="1">
      <c r="A39" s="118" t="s">
        <v>256</v>
      </c>
      <c r="B39" s="119"/>
      <c r="C39" s="119"/>
      <c r="D39" s="30"/>
      <c r="E39" s="9">
        <f>E38+E37+E36+E35+E26+E20</f>
        <v>196552.373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 customHeight="1">
      <c r="A40" s="120" t="s">
        <v>364</v>
      </c>
      <c r="B40" s="121"/>
      <c r="C40" s="121"/>
      <c r="D40" s="30"/>
      <c r="E40" s="20">
        <f>E39*0.06</f>
        <v>11793.14238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 customHeight="1">
      <c r="A41" s="127" t="s">
        <v>544</v>
      </c>
      <c r="B41" s="128"/>
      <c r="C41" s="114"/>
      <c r="D41" s="30"/>
      <c r="E41" s="20">
        <f>(E39+E40)*0.01</f>
        <v>2083.4551538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18" t="s">
        <v>257</v>
      </c>
      <c r="B42" s="119"/>
      <c r="C42" s="119"/>
      <c r="D42" s="30"/>
      <c r="E42" s="9">
        <f>SUM(E39:E41)</f>
        <v>210428.9705338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8" t="s">
        <v>248</v>
      </c>
      <c r="B43" s="39"/>
      <c r="C43" s="40"/>
      <c r="D43" s="9" t="s">
        <v>237</v>
      </c>
      <c r="E43" s="113">
        <f>E42/A13/12</f>
        <v>10.519975730087786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1"/>
      <c r="B44" s="12"/>
      <c r="C44" s="13"/>
      <c r="D44" s="1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5"/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62"/>
      <c r="B46" s="15"/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7"/>
      <c r="B47" s="15"/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 t="s">
        <v>237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24">
    <mergeCell ref="A35:C35"/>
    <mergeCell ref="A37:C37"/>
    <mergeCell ref="A39:C39"/>
    <mergeCell ref="A40:C40"/>
    <mergeCell ref="A41:B41"/>
    <mergeCell ref="A42:C42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D25"/>
    <mergeCell ref="A26:C26"/>
    <mergeCell ref="A27:C27"/>
    <mergeCell ref="A7:E7"/>
    <mergeCell ref="A11:E11"/>
    <mergeCell ref="A15:A17"/>
    <mergeCell ref="C15:C17"/>
    <mergeCell ref="A19:C19"/>
    <mergeCell ref="A21:C21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7">
      <selection activeCell="G38" sqref="G38"/>
    </sheetView>
  </sheetViews>
  <sheetFormatPr defaultColWidth="9.00390625" defaultRowHeight="12.75"/>
  <cols>
    <col min="1" max="1" width="12.375" style="0" customWidth="1"/>
    <col min="2" max="2" width="19.625" style="0" customWidth="1"/>
    <col min="3" max="3" width="18.875" style="0" customWidth="1"/>
    <col min="4" max="4" width="15.625" style="0" customWidth="1"/>
    <col min="5" max="5" width="13.87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205</v>
      </c>
      <c r="D3" s="55"/>
    </row>
    <row r="4" spans="3:4" ht="15">
      <c r="C4" s="55"/>
      <c r="D4" s="55"/>
    </row>
    <row r="6" spans="1:5" ht="21" customHeight="1">
      <c r="A6" s="134" t="s">
        <v>365</v>
      </c>
      <c r="B6" s="135"/>
      <c r="C6" s="135"/>
      <c r="D6" s="135"/>
      <c r="E6" s="135"/>
    </row>
    <row r="7" spans="1:5" ht="15.75">
      <c r="A7" s="2" t="s">
        <v>237</v>
      </c>
      <c r="B7" s="2"/>
      <c r="C7" s="1"/>
      <c r="D7" s="1"/>
      <c r="E7" s="1"/>
    </row>
    <row r="8" spans="1:5" ht="15" customHeight="1">
      <c r="A8" s="3" t="s">
        <v>366</v>
      </c>
      <c r="B8" s="1"/>
      <c r="C8" s="1"/>
      <c r="D8" s="1"/>
      <c r="E8" s="1"/>
    </row>
    <row r="9" spans="1:5" ht="14.25">
      <c r="A9" s="3"/>
      <c r="B9" s="1"/>
      <c r="C9" s="1"/>
      <c r="D9" s="1"/>
      <c r="E9" s="1"/>
    </row>
    <row r="10" spans="1:5" ht="12.75">
      <c r="A10" s="136" t="s">
        <v>240</v>
      </c>
      <c r="B10" s="137"/>
      <c r="C10" s="137"/>
      <c r="D10" s="137"/>
      <c r="E10" s="138"/>
    </row>
    <row r="11" spans="1: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</row>
    <row r="12" spans="1:5" ht="14.25">
      <c r="A12" s="51">
        <v>3231.7</v>
      </c>
      <c r="B12" s="49">
        <v>244</v>
      </c>
      <c r="C12" s="49">
        <v>400</v>
      </c>
      <c r="D12" s="49"/>
      <c r="E12" s="7">
        <v>1500</v>
      </c>
    </row>
    <row r="13" spans="1:5" ht="14.25">
      <c r="A13" s="3"/>
      <c r="B13" s="1"/>
      <c r="C13" s="1"/>
      <c r="D13" s="1"/>
      <c r="E13" s="1"/>
    </row>
    <row r="14" spans="1:5" ht="12.75">
      <c r="A14" s="145" t="s">
        <v>245</v>
      </c>
      <c r="B14" s="50" t="s">
        <v>318</v>
      </c>
      <c r="C14" s="147" t="s">
        <v>338</v>
      </c>
      <c r="D14" s="22"/>
      <c r="E14" s="1"/>
    </row>
    <row r="15" spans="1:5" ht="12.75">
      <c r="A15" s="151"/>
      <c r="B15" s="50" t="s">
        <v>319</v>
      </c>
      <c r="C15" s="151"/>
      <c r="D15" s="1"/>
      <c r="E15" s="1"/>
    </row>
    <row r="16" spans="1:5" ht="12.75">
      <c r="A16" s="4"/>
      <c r="B16" s="1"/>
      <c r="C16" s="1"/>
      <c r="D16" s="1"/>
      <c r="E16" s="1"/>
    </row>
    <row r="17" spans="1:5" ht="12.75">
      <c r="A17" s="139" t="s">
        <v>234</v>
      </c>
      <c r="B17" s="140"/>
      <c r="C17" s="140"/>
      <c r="D17" s="47"/>
      <c r="E17" s="48" t="s">
        <v>238</v>
      </c>
    </row>
    <row r="18" spans="1:5" ht="12.75">
      <c r="A18" s="41" t="s">
        <v>235</v>
      </c>
      <c r="B18" s="42"/>
      <c r="C18" s="42"/>
      <c r="D18" s="43"/>
      <c r="E18" s="24">
        <f>E20+E21+E22+E23</f>
        <v>74011.8168</v>
      </c>
    </row>
    <row r="19" spans="1:5" ht="12.75">
      <c r="A19" s="141" t="s">
        <v>246</v>
      </c>
      <c r="B19" s="142"/>
      <c r="C19" s="142"/>
      <c r="D19" s="46"/>
      <c r="E19" s="21"/>
    </row>
    <row r="20" spans="1:5" ht="12.75">
      <c r="A20" s="131" t="s">
        <v>367</v>
      </c>
      <c r="B20" s="132"/>
      <c r="C20" s="132"/>
      <c r="D20" s="44"/>
      <c r="E20" s="45">
        <v>68505</v>
      </c>
    </row>
    <row r="21" spans="1:5" ht="12.75">
      <c r="A21" s="122" t="s">
        <v>375</v>
      </c>
      <c r="B21" s="123"/>
      <c r="C21" s="123"/>
      <c r="D21" s="21"/>
      <c r="E21" s="26">
        <f>0.028*A12*12</f>
        <v>1085.8512</v>
      </c>
    </row>
    <row r="22" spans="1:5" ht="12.75">
      <c r="A22" s="122" t="s">
        <v>376</v>
      </c>
      <c r="B22" s="123"/>
      <c r="C22" s="123"/>
      <c r="D22" s="21"/>
      <c r="E22" s="26">
        <f>0.014*A12*12</f>
        <v>542.9256</v>
      </c>
    </row>
    <row r="23" spans="1:5" ht="12.75">
      <c r="A23" s="122" t="s">
        <v>374</v>
      </c>
      <c r="B23" s="123"/>
      <c r="C23" s="123"/>
      <c r="D23" s="133"/>
      <c r="E23" s="27">
        <f>0.1*A12*12</f>
        <v>3878.04</v>
      </c>
    </row>
    <row r="24" spans="1:5" ht="12.75">
      <c r="A24" s="129" t="s">
        <v>236</v>
      </c>
      <c r="B24" s="130"/>
      <c r="C24" s="130"/>
      <c r="D24" s="21"/>
      <c r="E24" s="19">
        <f>E25+E26+E27+E28+E29+E30+E31+E32</f>
        <v>88025.35680000001</v>
      </c>
    </row>
    <row r="25" spans="1:5" ht="12.75">
      <c r="A25" s="122" t="s">
        <v>368</v>
      </c>
      <c r="B25" s="123"/>
      <c r="C25" s="123"/>
      <c r="D25" s="21"/>
      <c r="E25" s="26">
        <f>270*101.01</f>
        <v>27272.7</v>
      </c>
    </row>
    <row r="26" spans="1:5" ht="12.75">
      <c r="A26" s="122" t="s">
        <v>369</v>
      </c>
      <c r="B26" s="123"/>
      <c r="C26" s="123"/>
      <c r="D26" s="21"/>
      <c r="E26" s="26">
        <f>270*35.02</f>
        <v>9455.400000000001</v>
      </c>
    </row>
    <row r="27" spans="1:5" ht="12.75">
      <c r="A27" s="122" t="s">
        <v>370</v>
      </c>
      <c r="B27" s="123"/>
      <c r="C27" s="123"/>
      <c r="D27" s="21"/>
      <c r="E27" s="27">
        <f>8500*2.73</f>
        <v>23205</v>
      </c>
    </row>
    <row r="28" spans="1:5" ht="12.75">
      <c r="A28" s="122" t="s">
        <v>371</v>
      </c>
      <c r="B28" s="123"/>
      <c r="C28" s="123"/>
      <c r="D28" s="21"/>
      <c r="E28" s="26">
        <f>0.002*A12*12</f>
        <v>77.5608</v>
      </c>
    </row>
    <row r="29" spans="1:5" ht="12.75">
      <c r="A29" s="122" t="s">
        <v>377</v>
      </c>
      <c r="B29" s="123"/>
      <c r="C29" s="123"/>
      <c r="D29" s="21"/>
      <c r="E29" s="26">
        <f>0.29*A12*12</f>
        <v>11246.315999999999</v>
      </c>
    </row>
    <row r="30" spans="1:5" ht="12.75">
      <c r="A30" s="122" t="s">
        <v>372</v>
      </c>
      <c r="B30" s="123"/>
      <c r="C30" s="123"/>
      <c r="D30" s="21"/>
      <c r="E30" s="27">
        <f>78*5.44+(78*16.17*4)</f>
        <v>5469.360000000001</v>
      </c>
    </row>
    <row r="31" spans="1:5" ht="12.75">
      <c r="A31" s="28" t="s">
        <v>249</v>
      </c>
      <c r="B31" s="29" t="s">
        <v>373</v>
      </c>
      <c r="C31" s="29"/>
      <c r="D31" s="21"/>
      <c r="E31" s="6">
        <f>78*120</f>
        <v>9360</v>
      </c>
    </row>
    <row r="32" spans="1:5" ht="12.75" customHeight="1">
      <c r="A32" s="122" t="s">
        <v>378</v>
      </c>
      <c r="B32" s="123"/>
      <c r="C32" s="123"/>
      <c r="D32" s="190"/>
      <c r="E32" s="5">
        <f>0.05*A12*12</f>
        <v>1939.02</v>
      </c>
    </row>
    <row r="33" spans="1:5" ht="12.75">
      <c r="A33" s="124" t="s">
        <v>252</v>
      </c>
      <c r="B33" s="125"/>
      <c r="C33" s="125"/>
      <c r="D33" s="30"/>
      <c r="E33" s="9">
        <v>139750</v>
      </c>
    </row>
    <row r="34" spans="1:5" ht="12.75">
      <c r="A34" s="53" t="s">
        <v>265</v>
      </c>
      <c r="B34" s="54"/>
      <c r="C34" s="54" t="s">
        <v>379</v>
      </c>
      <c r="D34" s="30"/>
      <c r="E34" s="19">
        <f>0.9*A12*12</f>
        <v>34902.36</v>
      </c>
    </row>
    <row r="35" spans="1:5" ht="12.75">
      <c r="A35" s="174" t="s">
        <v>334</v>
      </c>
      <c r="B35" s="175"/>
      <c r="C35" s="175"/>
      <c r="D35" s="30"/>
      <c r="E35" s="19">
        <f>1.24*A12*12</f>
        <v>48087.695999999996</v>
      </c>
    </row>
    <row r="36" spans="1:5" ht="12.75">
      <c r="A36" s="36" t="s">
        <v>215</v>
      </c>
      <c r="B36" s="37"/>
      <c r="C36" s="37" t="s">
        <v>325</v>
      </c>
      <c r="D36" s="38"/>
      <c r="E36" s="9">
        <f>0.003*A12*12</f>
        <v>116.3412</v>
      </c>
    </row>
    <row r="37" spans="1:5" ht="12.75">
      <c r="A37" s="118" t="s">
        <v>335</v>
      </c>
      <c r="B37" s="119"/>
      <c r="C37" s="119"/>
      <c r="D37" s="30"/>
      <c r="E37" s="9">
        <f>E36+E35+E34+E33+E24+E18</f>
        <v>384893.5708</v>
      </c>
    </row>
    <row r="38" spans="1:5" ht="12.75">
      <c r="A38" s="120" t="s">
        <v>336</v>
      </c>
      <c r="B38" s="121"/>
      <c r="C38" s="121"/>
      <c r="D38" s="30"/>
      <c r="E38" s="20">
        <f>E37*0.06</f>
        <v>23093.614247999998</v>
      </c>
    </row>
    <row r="39" spans="1:5" ht="12.75">
      <c r="A39" s="118" t="s">
        <v>257</v>
      </c>
      <c r="B39" s="119"/>
      <c r="C39" s="119"/>
      <c r="D39" s="30"/>
      <c r="E39" s="9">
        <f>SUM(E37:E38)</f>
        <v>407987.18504799996</v>
      </c>
    </row>
    <row r="40" spans="1:5" ht="12.75">
      <c r="A40" s="8" t="s">
        <v>248</v>
      </c>
      <c r="B40" s="39"/>
      <c r="C40" s="40"/>
      <c r="D40" s="9" t="s">
        <v>237</v>
      </c>
      <c r="E40" s="56">
        <f>E39/A12/12</f>
        <v>10.520448088415797</v>
      </c>
    </row>
    <row r="41" spans="1:5" ht="12.75">
      <c r="A41" s="11"/>
      <c r="B41" s="12"/>
      <c r="C41" s="13"/>
      <c r="D41" s="13"/>
      <c r="E41" s="1"/>
    </row>
    <row r="44" ht="12.75">
      <c r="A44" s="62" t="s">
        <v>287</v>
      </c>
    </row>
    <row r="45" ht="12.75">
      <c r="A45" s="17" t="s">
        <v>380</v>
      </c>
    </row>
  </sheetData>
  <sheetProtection/>
  <mergeCells count="23">
    <mergeCell ref="A39:C39"/>
    <mergeCell ref="A30:C30"/>
    <mergeCell ref="A32:D32"/>
    <mergeCell ref="A33:C33"/>
    <mergeCell ref="A35:C35"/>
    <mergeCell ref="A26:C26"/>
    <mergeCell ref="A27:C27"/>
    <mergeCell ref="A28:C28"/>
    <mergeCell ref="A29:C29"/>
    <mergeCell ref="A37:C37"/>
    <mergeCell ref="A38:C38"/>
    <mergeCell ref="A20:C20"/>
    <mergeCell ref="A21:C21"/>
    <mergeCell ref="A22:C22"/>
    <mergeCell ref="A23:D23"/>
    <mergeCell ref="A24:C24"/>
    <mergeCell ref="A25:C25"/>
    <mergeCell ref="A6:E6"/>
    <mergeCell ref="A10:E10"/>
    <mergeCell ref="A14:A15"/>
    <mergeCell ref="C14:C15"/>
    <mergeCell ref="A17:C17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F43" sqref="F43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205</v>
      </c>
      <c r="D3" s="55"/>
    </row>
    <row r="6" spans="1:5" ht="21" customHeight="1">
      <c r="A6" s="134" t="s">
        <v>365</v>
      </c>
      <c r="B6" s="135"/>
      <c r="C6" s="135"/>
      <c r="D6" s="135"/>
      <c r="E6" s="135"/>
    </row>
    <row r="7" spans="1:5" ht="15.75">
      <c r="A7" s="2" t="s">
        <v>237</v>
      </c>
      <c r="B7" s="2"/>
      <c r="C7" s="1"/>
      <c r="D7" s="1"/>
      <c r="E7" s="1"/>
    </row>
    <row r="8" spans="1:5" ht="14.25">
      <c r="A8" s="3" t="s">
        <v>131</v>
      </c>
      <c r="B8" s="1"/>
      <c r="C8" s="1"/>
      <c r="D8" s="1"/>
      <c r="E8" s="1"/>
    </row>
    <row r="9" spans="1:5" ht="14.25">
      <c r="A9" s="3"/>
      <c r="B9" s="1"/>
      <c r="C9" s="1"/>
      <c r="D9" s="52"/>
      <c r="E9" s="1"/>
    </row>
    <row r="10" spans="1:5" ht="12.75">
      <c r="A10" s="136" t="s">
        <v>240</v>
      </c>
      <c r="B10" s="137"/>
      <c r="C10" s="137"/>
      <c r="D10" s="137"/>
      <c r="E10" s="138"/>
    </row>
    <row r="11" spans="1: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</row>
    <row r="12" spans="1:5" ht="14.25">
      <c r="A12" s="51">
        <v>2476.1</v>
      </c>
      <c r="B12" s="49">
        <v>202</v>
      </c>
      <c r="C12" s="49">
        <v>729</v>
      </c>
      <c r="D12" s="49"/>
      <c r="E12" s="7">
        <v>2120</v>
      </c>
    </row>
    <row r="13" spans="1:5" ht="14.25">
      <c r="A13" s="3"/>
      <c r="B13" s="1"/>
      <c r="C13" s="1"/>
      <c r="D13" s="1"/>
      <c r="E13" s="1"/>
    </row>
    <row r="14" spans="1:5" ht="12.75">
      <c r="A14" s="145" t="s">
        <v>245</v>
      </c>
      <c r="B14" s="50" t="s">
        <v>132</v>
      </c>
      <c r="C14" s="147" t="s">
        <v>133</v>
      </c>
      <c r="D14" s="22"/>
      <c r="E14" s="1"/>
    </row>
    <row r="15" spans="1:5" ht="12.75">
      <c r="A15" s="151"/>
      <c r="B15" s="50" t="s">
        <v>134</v>
      </c>
      <c r="C15" s="151"/>
      <c r="D15" s="1"/>
      <c r="E15" s="1"/>
    </row>
    <row r="16" spans="1:5" ht="12.75">
      <c r="A16" s="69"/>
      <c r="B16" s="66"/>
      <c r="C16" s="69"/>
      <c r="D16" s="1"/>
      <c r="E16" s="1"/>
    </row>
    <row r="17" spans="1:5" ht="12.75">
      <c r="A17" s="4"/>
      <c r="B17" s="1"/>
      <c r="C17" s="1"/>
      <c r="D17" s="1"/>
      <c r="E17" s="1"/>
    </row>
    <row r="18" spans="1:5" ht="12.75">
      <c r="A18" s="139" t="s">
        <v>234</v>
      </c>
      <c r="B18" s="140"/>
      <c r="C18" s="140"/>
      <c r="D18" s="47"/>
      <c r="E18" s="48" t="s">
        <v>238</v>
      </c>
    </row>
    <row r="19" spans="1:5" ht="12.75">
      <c r="A19" s="41" t="s">
        <v>235</v>
      </c>
      <c r="B19" s="42"/>
      <c r="C19" s="42"/>
      <c r="D19" s="43"/>
      <c r="E19" s="24">
        <f>E21+E22+E23+E24</f>
        <v>47538.633</v>
      </c>
    </row>
    <row r="20" spans="1:5" ht="12.75">
      <c r="A20" s="141" t="s">
        <v>246</v>
      </c>
      <c r="B20" s="142"/>
      <c r="C20" s="142"/>
      <c r="D20" s="46"/>
      <c r="E20" s="21"/>
    </row>
    <row r="21" spans="1:5" ht="12.75">
      <c r="A21" s="131" t="s">
        <v>135</v>
      </c>
      <c r="B21" s="132"/>
      <c r="C21" s="132"/>
      <c r="D21" s="44"/>
      <c r="E21" s="45">
        <f>0.307*5800*1.75*1.203*12</f>
        <v>44983.2978</v>
      </c>
    </row>
    <row r="22" spans="1:5" ht="12.75">
      <c r="A22" s="122" t="s">
        <v>141</v>
      </c>
      <c r="B22" s="123"/>
      <c r="C22" s="123"/>
      <c r="D22" s="21"/>
      <c r="E22" s="26">
        <f>0.012*A12*12</f>
        <v>356.5584</v>
      </c>
    </row>
    <row r="23" spans="1:5" ht="12.75">
      <c r="A23" s="122" t="s">
        <v>142</v>
      </c>
      <c r="B23" s="123"/>
      <c r="C23" s="123"/>
      <c r="D23" s="21"/>
      <c r="E23" s="26">
        <f>0.014*A12*12</f>
        <v>415.98479999999995</v>
      </c>
    </row>
    <row r="24" spans="1:5" ht="12.75">
      <c r="A24" s="122" t="s">
        <v>136</v>
      </c>
      <c r="B24" s="123"/>
      <c r="C24" s="123"/>
      <c r="D24" s="133"/>
      <c r="E24" s="27">
        <f>0.06*A12*12</f>
        <v>1782.792</v>
      </c>
    </row>
    <row r="25" spans="1:5" ht="12.75">
      <c r="A25" s="129" t="s">
        <v>236</v>
      </c>
      <c r="B25" s="130"/>
      <c r="C25" s="130"/>
      <c r="D25" s="21"/>
      <c r="E25" s="19">
        <f>E26+E27+E28+E29+E31+E33+E32+E30</f>
        <v>36443.5944</v>
      </c>
    </row>
    <row r="26" spans="1:5" ht="12.75">
      <c r="A26" s="122" t="s">
        <v>137</v>
      </c>
      <c r="B26" s="123"/>
      <c r="C26" s="123"/>
      <c r="D26" s="21"/>
      <c r="E26" s="26">
        <f>76*1.5*101.01</f>
        <v>11515.140000000001</v>
      </c>
    </row>
    <row r="27" spans="1:5" ht="12.75">
      <c r="A27" s="122" t="s">
        <v>138</v>
      </c>
      <c r="B27" s="123"/>
      <c r="C27" s="123"/>
      <c r="D27" s="21"/>
      <c r="E27" s="26">
        <f>1.5*76*35.02</f>
        <v>3992.28</v>
      </c>
    </row>
    <row r="28" spans="1:5" ht="12.75">
      <c r="A28" s="122" t="s">
        <v>143</v>
      </c>
      <c r="B28" s="123"/>
      <c r="C28" s="123"/>
      <c r="D28" s="21"/>
      <c r="E28" s="27">
        <f>3750*2.73</f>
        <v>10237.5</v>
      </c>
    </row>
    <row r="29" spans="1:5" ht="12.75">
      <c r="A29" s="122" t="s">
        <v>139</v>
      </c>
      <c r="B29" s="123"/>
      <c r="C29" s="123"/>
      <c r="D29" s="21"/>
      <c r="E29" s="26">
        <f>0.002*A12*12</f>
        <v>59.426399999999994</v>
      </c>
    </row>
    <row r="30" spans="1:5" ht="12.75">
      <c r="A30" s="122" t="s">
        <v>426</v>
      </c>
      <c r="B30" s="123"/>
      <c r="C30" s="123"/>
      <c r="D30" s="21"/>
      <c r="E30" s="26">
        <f>1.44*672.1</f>
        <v>967.824</v>
      </c>
    </row>
    <row r="31" spans="1:5" ht="12.75">
      <c r="A31" s="122" t="s">
        <v>144</v>
      </c>
      <c r="B31" s="123"/>
      <c r="C31" s="123"/>
      <c r="D31" s="21"/>
      <c r="E31" s="26">
        <f>0.32*A12*12</f>
        <v>9508.224</v>
      </c>
    </row>
    <row r="32" spans="1:5" ht="12.75" customHeight="1">
      <c r="A32" s="122" t="s">
        <v>428</v>
      </c>
      <c r="B32" s="123"/>
      <c r="C32" s="123"/>
      <c r="D32" s="21"/>
      <c r="E32" s="26">
        <f>30*5.44</f>
        <v>163.20000000000002</v>
      </c>
    </row>
    <row r="33" spans="1:5" ht="12.75">
      <c r="A33" s="28" t="s">
        <v>249</v>
      </c>
      <c r="B33" s="29" t="s">
        <v>268</v>
      </c>
      <c r="C33" s="29"/>
      <c r="D33" s="21"/>
      <c r="E33" s="6"/>
    </row>
    <row r="34" spans="1:5" ht="12.75">
      <c r="A34" s="124" t="s">
        <v>252</v>
      </c>
      <c r="B34" s="125"/>
      <c r="C34" s="125"/>
      <c r="D34" s="30"/>
      <c r="E34" s="9">
        <v>135391</v>
      </c>
    </row>
    <row r="35" spans="1:5" ht="12.75">
      <c r="A35" s="53" t="s">
        <v>265</v>
      </c>
      <c r="B35" s="54"/>
      <c r="C35" s="54" t="s">
        <v>145</v>
      </c>
      <c r="D35" s="30"/>
      <c r="E35" s="19">
        <f>0.81*A12*12</f>
        <v>24067.692000000003</v>
      </c>
    </row>
    <row r="36" spans="1:5" ht="12.75">
      <c r="A36" s="143" t="s">
        <v>146</v>
      </c>
      <c r="B36" s="144"/>
      <c r="C36" s="144"/>
      <c r="D36" s="30"/>
      <c r="E36" s="19">
        <f>1.63*A12*12</f>
        <v>48432.515999999996</v>
      </c>
    </row>
    <row r="37" spans="1:5" ht="12.75">
      <c r="A37" s="36" t="s">
        <v>215</v>
      </c>
      <c r="B37" s="37"/>
      <c r="C37" s="37" t="s">
        <v>140</v>
      </c>
      <c r="D37" s="38"/>
      <c r="E37" s="9">
        <f>0.003*A12*12</f>
        <v>89.1396</v>
      </c>
    </row>
    <row r="38" spans="1:5" ht="12.75">
      <c r="A38" s="118" t="s">
        <v>335</v>
      </c>
      <c r="B38" s="119"/>
      <c r="C38" s="119"/>
      <c r="D38" s="30"/>
      <c r="E38" s="9">
        <f>E37+E36+E35+E34+E25+E19</f>
        <v>291962.575</v>
      </c>
    </row>
    <row r="39" spans="1:5" ht="12.75" customHeight="1">
      <c r="A39" s="120" t="s">
        <v>430</v>
      </c>
      <c r="B39" s="121"/>
      <c r="C39" s="121"/>
      <c r="D39" s="30"/>
      <c r="E39" s="20">
        <f>E38*0.06</f>
        <v>17517.7545</v>
      </c>
    </row>
    <row r="40" spans="1:5" ht="12.75" customHeight="1">
      <c r="A40" s="127" t="s">
        <v>544</v>
      </c>
      <c r="B40" s="128"/>
      <c r="C40" s="114"/>
      <c r="D40" s="30"/>
      <c r="E40" s="20">
        <f>(E38+E39)*0.01</f>
        <v>3094.803295</v>
      </c>
    </row>
    <row r="41" spans="1:5" ht="12.75">
      <c r="A41" s="118" t="s">
        <v>257</v>
      </c>
      <c r="B41" s="119"/>
      <c r="C41" s="119"/>
      <c r="D41" s="30"/>
      <c r="E41" s="9">
        <f>SUM(E38:E40)</f>
        <v>312575.132795</v>
      </c>
    </row>
    <row r="42" spans="1:5" ht="12.75">
      <c r="A42" s="8" t="s">
        <v>248</v>
      </c>
      <c r="B42" s="39"/>
      <c r="C42" s="40"/>
      <c r="D42" s="9" t="s">
        <v>237</v>
      </c>
      <c r="E42" s="113">
        <f>E41/A12/12</f>
        <v>10.519739805709246</v>
      </c>
    </row>
    <row r="43" spans="1:5" ht="12.75">
      <c r="A43" s="11"/>
      <c r="B43" s="12"/>
      <c r="C43" s="13"/>
      <c r="D43" s="13"/>
      <c r="E43" s="1"/>
    </row>
  </sheetData>
  <sheetProtection/>
  <mergeCells count="24">
    <mergeCell ref="A34:C34"/>
    <mergeCell ref="A36:C36"/>
    <mergeCell ref="A38:C38"/>
    <mergeCell ref="A39:C39"/>
    <mergeCell ref="A40:B40"/>
    <mergeCell ref="A41:C41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D24"/>
    <mergeCell ref="A25:C25"/>
    <mergeCell ref="A26:C26"/>
    <mergeCell ref="A6:E6"/>
    <mergeCell ref="A10:E10"/>
    <mergeCell ref="A14:A15"/>
    <mergeCell ref="C14:C15"/>
    <mergeCell ref="A18:C18"/>
    <mergeCell ref="A20:C20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7">
      <selection activeCell="A41" sqref="A41:C41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381</v>
      </c>
      <c r="D3" s="55"/>
    </row>
    <row r="6" spans="1:5" ht="21" customHeight="1">
      <c r="A6" s="134" t="s">
        <v>365</v>
      </c>
      <c r="B6" s="135"/>
      <c r="C6" s="135"/>
      <c r="D6" s="135"/>
      <c r="E6" s="135"/>
    </row>
    <row r="7" spans="1:5" ht="15.75">
      <c r="A7" s="2" t="s">
        <v>237</v>
      </c>
      <c r="B7" s="2"/>
      <c r="C7" s="1"/>
      <c r="D7" s="1"/>
      <c r="E7" s="1"/>
    </row>
    <row r="8" spans="1:5" ht="14.25">
      <c r="A8" s="3" t="s">
        <v>417</v>
      </c>
      <c r="B8" s="1"/>
      <c r="C8" s="1"/>
      <c r="D8" s="1"/>
      <c r="E8" s="1"/>
    </row>
    <row r="9" spans="1:5" ht="14.25">
      <c r="A9" s="3"/>
      <c r="B9" s="1"/>
      <c r="C9" s="1"/>
      <c r="D9" s="52"/>
      <c r="E9" s="1"/>
    </row>
    <row r="10" spans="1:5" ht="14.25">
      <c r="A10" s="3"/>
      <c r="B10" s="1"/>
      <c r="C10" s="1"/>
      <c r="D10" s="1"/>
      <c r="E10" s="1"/>
    </row>
    <row r="11" spans="1:5" ht="12.75">
      <c r="A11" s="136" t="s">
        <v>240</v>
      </c>
      <c r="B11" s="137"/>
      <c r="C11" s="137"/>
      <c r="D11" s="137"/>
      <c r="E11" s="138"/>
    </row>
    <row r="12" spans="1:5" ht="12.75">
      <c r="A12" s="18" t="s">
        <v>241</v>
      </c>
      <c r="B12" s="18" t="s">
        <v>242</v>
      </c>
      <c r="C12" s="18" t="s">
        <v>243</v>
      </c>
      <c r="D12" s="18" t="s">
        <v>244</v>
      </c>
      <c r="E12" s="18" t="s">
        <v>239</v>
      </c>
    </row>
    <row r="13" spans="1:5" ht="14.25">
      <c r="A13" s="51">
        <v>2480.2</v>
      </c>
      <c r="B13" s="49">
        <v>212.2</v>
      </c>
      <c r="C13" s="49">
        <v>923</v>
      </c>
      <c r="D13" s="49"/>
      <c r="E13" s="7">
        <v>1929</v>
      </c>
    </row>
    <row r="14" spans="1:5" ht="14.25">
      <c r="A14" s="3"/>
      <c r="B14" s="1"/>
      <c r="C14" s="1"/>
      <c r="D14" s="1"/>
      <c r="E14" s="1"/>
    </row>
    <row r="15" spans="1:5" ht="12.75">
      <c r="A15" s="145" t="s">
        <v>245</v>
      </c>
      <c r="B15" s="50" t="s">
        <v>418</v>
      </c>
      <c r="C15" s="147" t="s">
        <v>419</v>
      </c>
      <c r="D15" s="22"/>
      <c r="E15" s="1"/>
    </row>
    <row r="16" spans="1:5" ht="12.75">
      <c r="A16" s="151"/>
      <c r="B16" s="50" t="s">
        <v>420</v>
      </c>
      <c r="C16" s="151"/>
      <c r="D16" s="1"/>
      <c r="E16" s="1"/>
    </row>
    <row r="17" spans="1:5" ht="12.75">
      <c r="A17" s="69"/>
      <c r="B17" s="66"/>
      <c r="C17" s="69"/>
      <c r="D17" s="1"/>
      <c r="E17" s="1"/>
    </row>
    <row r="18" spans="1:5" ht="12.75">
      <c r="A18" s="4"/>
      <c r="B18" s="1"/>
      <c r="C18" s="1"/>
      <c r="D18" s="1"/>
      <c r="E18" s="1"/>
    </row>
    <row r="19" spans="1:5" ht="22.5" customHeight="1">
      <c r="A19" s="139" t="s">
        <v>234</v>
      </c>
      <c r="B19" s="140"/>
      <c r="C19" s="140"/>
      <c r="D19" s="47"/>
      <c r="E19" s="48" t="s">
        <v>238</v>
      </c>
    </row>
    <row r="20" spans="1:5" ht="12.75">
      <c r="A20" s="41" t="s">
        <v>235</v>
      </c>
      <c r="B20" s="42"/>
      <c r="C20" s="42"/>
      <c r="D20" s="43"/>
      <c r="E20" s="24">
        <f>E22+E24+E25+E26</f>
        <v>47542.8642</v>
      </c>
    </row>
    <row r="21" spans="1:5" ht="12.75">
      <c r="A21" s="141" t="s">
        <v>246</v>
      </c>
      <c r="B21" s="142"/>
      <c r="C21" s="142"/>
      <c r="D21" s="46"/>
      <c r="E21" s="21"/>
    </row>
    <row r="22" spans="1:5" ht="12.75">
      <c r="A22" s="131" t="s">
        <v>421</v>
      </c>
      <c r="B22" s="132"/>
      <c r="C22" s="132"/>
      <c r="D22" s="44"/>
      <c r="E22" s="45">
        <f>0.307*5800*1.75*1.203*12</f>
        <v>44983.2978</v>
      </c>
    </row>
    <row r="23" spans="1:5" ht="12.75">
      <c r="A23" s="100" t="s">
        <v>422</v>
      </c>
      <c r="B23" s="101"/>
      <c r="C23" s="101"/>
      <c r="D23" s="44"/>
      <c r="E23" s="45" t="s">
        <v>423</v>
      </c>
    </row>
    <row r="24" spans="1:5" ht="12.75">
      <c r="A24" s="122" t="s">
        <v>92</v>
      </c>
      <c r="B24" s="123"/>
      <c r="C24" s="123"/>
      <c r="D24" s="21"/>
      <c r="E24" s="26">
        <f>0.012*A13*12</f>
        <v>357.1488</v>
      </c>
    </row>
    <row r="25" spans="1:5" ht="12.75">
      <c r="A25" s="122" t="s">
        <v>424</v>
      </c>
      <c r="B25" s="123"/>
      <c r="C25" s="123"/>
      <c r="D25" s="21"/>
      <c r="E25" s="26">
        <f>0.014*A13*12</f>
        <v>416.67359999999996</v>
      </c>
    </row>
    <row r="26" spans="1:5" ht="12.75">
      <c r="A26" s="122" t="s">
        <v>431</v>
      </c>
      <c r="B26" s="123"/>
      <c r="C26" s="123"/>
      <c r="D26" s="133"/>
      <c r="E26" s="27">
        <f>0.06*A13*12</f>
        <v>1785.7439999999997</v>
      </c>
    </row>
    <row r="27" spans="1:5" ht="12.75">
      <c r="A27" s="129" t="s">
        <v>236</v>
      </c>
      <c r="B27" s="130"/>
      <c r="C27" s="130"/>
      <c r="D27" s="21"/>
      <c r="E27" s="19">
        <f>E28+E29+E30+E31+E33+E35+E34+E32</f>
        <v>42099.199799999995</v>
      </c>
    </row>
    <row r="28" spans="1:5" ht="12.75">
      <c r="A28" s="122" t="s">
        <v>432</v>
      </c>
      <c r="B28" s="123"/>
      <c r="C28" s="123"/>
      <c r="D28" s="21"/>
      <c r="E28" s="26">
        <f>79*1.5*101.01</f>
        <v>11969.685000000001</v>
      </c>
    </row>
    <row r="29" spans="1:5" ht="12.75">
      <c r="A29" s="122" t="s">
        <v>433</v>
      </c>
      <c r="B29" s="123"/>
      <c r="C29" s="123"/>
      <c r="D29" s="21"/>
      <c r="E29" s="26">
        <f>79*1.5*35.02</f>
        <v>4149.870000000001</v>
      </c>
    </row>
    <row r="30" spans="1:5" ht="12.75">
      <c r="A30" s="122" t="s">
        <v>316</v>
      </c>
      <c r="B30" s="123"/>
      <c r="C30" s="123"/>
      <c r="D30" s="21"/>
      <c r="E30" s="27">
        <f>4600*2.73</f>
        <v>12558</v>
      </c>
    </row>
    <row r="31" spans="1:5" ht="12.75">
      <c r="A31" s="122" t="s">
        <v>425</v>
      </c>
      <c r="B31" s="123"/>
      <c r="C31" s="123"/>
      <c r="D31" s="21"/>
      <c r="E31" s="26">
        <f>0.002*A13*12</f>
        <v>59.5248</v>
      </c>
    </row>
    <row r="32" spans="1:5" ht="12.75">
      <c r="A32" s="122" t="s">
        <v>426</v>
      </c>
      <c r="B32" s="123"/>
      <c r="C32" s="123"/>
      <c r="D32" s="21"/>
      <c r="E32" s="26">
        <f>1.44*672.1</f>
        <v>967.824</v>
      </c>
    </row>
    <row r="33" spans="1:5" ht="12.75">
      <c r="A33" s="122" t="s">
        <v>427</v>
      </c>
      <c r="B33" s="123"/>
      <c r="C33" s="123"/>
      <c r="D33" s="21"/>
      <c r="E33" s="26">
        <f>0.29*A13*12</f>
        <v>8631.096</v>
      </c>
    </row>
    <row r="34" spans="1:5" ht="12.75" customHeight="1">
      <c r="A34" s="122" t="s">
        <v>428</v>
      </c>
      <c r="B34" s="123"/>
      <c r="C34" s="123"/>
      <c r="D34" s="21"/>
      <c r="E34" s="26">
        <f>30*5.44</f>
        <v>163.20000000000002</v>
      </c>
    </row>
    <row r="35" spans="1:5" ht="12.75">
      <c r="A35" s="28" t="s">
        <v>249</v>
      </c>
      <c r="B35" s="29" t="s">
        <v>434</v>
      </c>
      <c r="C35" s="29"/>
      <c r="D35" s="21"/>
      <c r="E35" s="6">
        <f>30*120</f>
        <v>3600</v>
      </c>
    </row>
    <row r="36" spans="1:5" ht="12.75">
      <c r="A36" s="124" t="s">
        <v>252</v>
      </c>
      <c r="B36" s="125"/>
      <c r="C36" s="125"/>
      <c r="D36" s="30"/>
      <c r="E36" s="9">
        <v>130091</v>
      </c>
    </row>
    <row r="37" spans="1:5" ht="12.75">
      <c r="A37" s="53" t="s">
        <v>265</v>
      </c>
      <c r="B37" s="54"/>
      <c r="C37" s="54" t="s">
        <v>93</v>
      </c>
      <c r="D37" s="30"/>
      <c r="E37" s="19">
        <f>0.81*A13*12</f>
        <v>24107.544</v>
      </c>
    </row>
    <row r="38" spans="1:5" ht="12.75">
      <c r="A38" s="143" t="s">
        <v>94</v>
      </c>
      <c r="B38" s="144"/>
      <c r="C38" s="144"/>
      <c r="D38" s="30"/>
      <c r="E38" s="19">
        <f>1.63*A13*12</f>
        <v>48512.712</v>
      </c>
    </row>
    <row r="39" spans="1:5" ht="12.75">
      <c r="A39" s="36" t="s">
        <v>215</v>
      </c>
      <c r="B39" s="37"/>
      <c r="C39" s="37" t="s">
        <v>429</v>
      </c>
      <c r="D39" s="38"/>
      <c r="E39" s="9">
        <f>0.003*A13*12</f>
        <v>89.2872</v>
      </c>
    </row>
    <row r="40" spans="1:5" ht="12.75">
      <c r="A40" s="118" t="s">
        <v>335</v>
      </c>
      <c r="B40" s="119"/>
      <c r="C40" s="119"/>
      <c r="D40" s="30"/>
      <c r="E40" s="9">
        <f>E39+E38+E37+E36+E27+E20</f>
        <v>292442.6072</v>
      </c>
    </row>
    <row r="41" spans="1:5" ht="12.75" customHeight="1">
      <c r="A41" s="120" t="s">
        <v>430</v>
      </c>
      <c r="B41" s="121"/>
      <c r="C41" s="121"/>
      <c r="D41" s="30"/>
      <c r="E41" s="20">
        <f>E40*0.06</f>
        <v>17546.556432</v>
      </c>
    </row>
    <row r="42" spans="1:5" ht="12.75" customHeight="1">
      <c r="A42" s="127" t="s">
        <v>155</v>
      </c>
      <c r="B42" s="128"/>
      <c r="C42" s="117"/>
      <c r="D42" s="112"/>
      <c r="E42" s="20">
        <f>(E40+E41)*0.01</f>
        <v>3099.8916363200005</v>
      </c>
    </row>
    <row r="43" spans="1:5" ht="12.75">
      <c r="A43" s="118" t="s">
        <v>257</v>
      </c>
      <c r="B43" s="119"/>
      <c r="C43" s="119"/>
      <c r="D43" s="30"/>
      <c r="E43" s="9">
        <f>SUM(E40:E42)</f>
        <v>313089.05526832</v>
      </c>
    </row>
    <row r="44" spans="1:5" ht="12.75">
      <c r="A44" s="8" t="s">
        <v>248</v>
      </c>
      <c r="B44" s="39"/>
      <c r="C44" s="40"/>
      <c r="D44" s="9" t="s">
        <v>237</v>
      </c>
      <c r="E44" s="113">
        <f>E43/A13/12</f>
        <v>10.519617210585169</v>
      </c>
    </row>
    <row r="45" spans="1:5" ht="12.75">
      <c r="A45" s="11"/>
      <c r="B45" s="12"/>
      <c r="C45" s="13"/>
      <c r="D45" s="13"/>
      <c r="E45" s="1"/>
    </row>
  </sheetData>
  <sheetProtection/>
  <mergeCells count="24">
    <mergeCell ref="A11:E11"/>
    <mergeCell ref="A15:A16"/>
    <mergeCell ref="C15:C16"/>
    <mergeCell ref="A22:C22"/>
    <mergeCell ref="A33:C33"/>
    <mergeCell ref="A30:C30"/>
    <mergeCell ref="A24:C24"/>
    <mergeCell ref="A25:C25"/>
    <mergeCell ref="A28:C28"/>
    <mergeCell ref="A29:C29"/>
    <mergeCell ref="A26:D26"/>
    <mergeCell ref="A31:C31"/>
    <mergeCell ref="A42:B42"/>
    <mergeCell ref="A43:C43"/>
    <mergeCell ref="A32:C32"/>
    <mergeCell ref="A41:C41"/>
    <mergeCell ref="A36:C36"/>
    <mergeCell ref="A40:C40"/>
    <mergeCell ref="A38:C38"/>
    <mergeCell ref="A6:E6"/>
    <mergeCell ref="A19:C19"/>
    <mergeCell ref="A21:C21"/>
    <mergeCell ref="A34:C34"/>
    <mergeCell ref="A27:C27"/>
  </mergeCells>
  <printOptions/>
  <pageMargins left="0.75" right="0.16" top="0.28" bottom="0.25" header="0.27" footer="0.1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3">
      <selection activeCell="G27" sqref="G27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381</v>
      </c>
      <c r="D3" s="55"/>
    </row>
    <row r="6" spans="1:5" ht="21" customHeight="1">
      <c r="A6" s="134" t="s">
        <v>365</v>
      </c>
      <c r="B6" s="135"/>
      <c r="C6" s="135"/>
      <c r="D6" s="135"/>
      <c r="E6" s="135"/>
    </row>
    <row r="7" spans="1:5" ht="15.75">
      <c r="A7" s="2" t="s">
        <v>237</v>
      </c>
      <c r="B7" s="2"/>
      <c r="C7" s="1"/>
      <c r="D7" s="1"/>
      <c r="E7" s="1"/>
    </row>
    <row r="8" spans="1:5" ht="14.25">
      <c r="A8" s="3" t="s">
        <v>349</v>
      </c>
      <c r="B8" s="1"/>
      <c r="C8" s="1"/>
      <c r="D8" s="1"/>
      <c r="E8" s="1"/>
    </row>
    <row r="9" spans="1:5" ht="14.25">
      <c r="A9" s="3"/>
      <c r="B9" s="1"/>
      <c r="C9" s="1"/>
      <c r="D9" s="52" t="s">
        <v>350</v>
      </c>
      <c r="E9" s="1"/>
    </row>
    <row r="10" spans="1:5" ht="14.25">
      <c r="A10" s="3"/>
      <c r="B10" s="1"/>
      <c r="C10" s="1"/>
      <c r="D10" s="1"/>
      <c r="E10" s="1"/>
    </row>
    <row r="11" spans="1:5" ht="12.75">
      <c r="A11" s="136" t="s">
        <v>240</v>
      </c>
      <c r="B11" s="137"/>
      <c r="C11" s="137"/>
      <c r="D11" s="137"/>
      <c r="E11" s="138"/>
    </row>
    <row r="12" spans="1:5" ht="12.75">
      <c r="A12" s="18" t="s">
        <v>241</v>
      </c>
      <c r="B12" s="18" t="s">
        <v>242</v>
      </c>
      <c r="C12" s="18" t="s">
        <v>243</v>
      </c>
      <c r="D12" s="18" t="s">
        <v>244</v>
      </c>
      <c r="E12" s="18" t="s">
        <v>239</v>
      </c>
    </row>
    <row r="13" spans="1:5" ht="14.25">
      <c r="A13" s="51">
        <v>2864.5</v>
      </c>
      <c r="B13" s="49">
        <v>180</v>
      </c>
      <c r="C13" s="49">
        <v>1067.3</v>
      </c>
      <c r="D13" s="49"/>
      <c r="E13" s="7">
        <v>2723.2</v>
      </c>
    </row>
    <row r="14" spans="1:5" ht="14.25">
      <c r="A14" s="3"/>
      <c r="B14" s="1"/>
      <c r="C14" s="1"/>
      <c r="D14" s="1"/>
      <c r="E14" s="1"/>
    </row>
    <row r="15" spans="1:5" ht="12.75">
      <c r="A15" s="145" t="s">
        <v>245</v>
      </c>
      <c r="B15" s="50" t="s">
        <v>340</v>
      </c>
      <c r="C15" s="147" t="s">
        <v>342</v>
      </c>
      <c r="D15" s="22"/>
      <c r="E15" s="1"/>
    </row>
    <row r="16" spans="1:5" ht="12.75">
      <c r="A16" s="151"/>
      <c r="B16" s="50" t="s">
        <v>341</v>
      </c>
      <c r="C16" s="151"/>
      <c r="D16" s="1"/>
      <c r="E16" s="1"/>
    </row>
    <row r="17" spans="1:5" ht="12.75">
      <c r="A17" s="4"/>
      <c r="B17" s="1"/>
      <c r="C17" s="1"/>
      <c r="D17" s="1"/>
      <c r="E17" s="1"/>
    </row>
    <row r="18" spans="1:5" ht="12.75">
      <c r="A18" s="139" t="s">
        <v>234</v>
      </c>
      <c r="B18" s="140"/>
      <c r="C18" s="140"/>
      <c r="D18" s="47"/>
      <c r="E18" s="48" t="s">
        <v>238</v>
      </c>
    </row>
    <row r="19" spans="1:5" ht="12.75">
      <c r="A19" s="41" t="s">
        <v>235</v>
      </c>
      <c r="B19" s="42"/>
      <c r="C19" s="42"/>
      <c r="D19" s="43"/>
      <c r="E19" s="24">
        <f>E21+E22+E23+E24</f>
        <v>67134.28919999998</v>
      </c>
    </row>
    <row r="20" spans="1:5" ht="12.75">
      <c r="A20" s="141" t="s">
        <v>246</v>
      </c>
      <c r="B20" s="142"/>
      <c r="C20" s="142"/>
      <c r="D20" s="46"/>
      <c r="E20" s="21"/>
    </row>
    <row r="21" spans="1:5" ht="12.75">
      <c r="A21" s="131" t="s">
        <v>147</v>
      </c>
      <c r="B21" s="132"/>
      <c r="C21" s="132"/>
      <c r="D21" s="44"/>
      <c r="E21" s="45">
        <f>0.438*5800*1.75*1.203*12</f>
        <v>64178.125199999995</v>
      </c>
    </row>
    <row r="22" spans="1:5" ht="12.75">
      <c r="A22" s="122" t="s">
        <v>148</v>
      </c>
      <c r="B22" s="123"/>
      <c r="C22" s="123"/>
      <c r="D22" s="21"/>
      <c r="E22" s="26">
        <f>0.012*A13*12</f>
        <v>412.48800000000006</v>
      </c>
    </row>
    <row r="23" spans="1:5" ht="12.75">
      <c r="A23" s="122" t="s">
        <v>149</v>
      </c>
      <c r="B23" s="123"/>
      <c r="C23" s="123"/>
      <c r="D23" s="21"/>
      <c r="E23" s="26">
        <f>0.014*A13*12</f>
        <v>481.236</v>
      </c>
    </row>
    <row r="24" spans="1:5" ht="12.75">
      <c r="A24" s="122" t="s">
        <v>150</v>
      </c>
      <c r="B24" s="123"/>
      <c r="C24" s="123"/>
      <c r="D24" s="133"/>
      <c r="E24" s="27">
        <f>0.06*A13*12</f>
        <v>2062.44</v>
      </c>
    </row>
    <row r="25" spans="1:5" ht="12.75">
      <c r="A25" s="129" t="s">
        <v>236</v>
      </c>
      <c r="B25" s="130"/>
      <c r="C25" s="130"/>
      <c r="D25" s="21"/>
      <c r="E25" s="19">
        <f>E26+E27+E28+E29+E31+E32</f>
        <v>109995.10800000001</v>
      </c>
    </row>
    <row r="26" spans="1:5" ht="12.75">
      <c r="A26" s="122" t="s">
        <v>151</v>
      </c>
      <c r="B26" s="123"/>
      <c r="C26" s="123"/>
      <c r="D26" s="21"/>
      <c r="E26" s="26">
        <f>220*1.5*101.01</f>
        <v>33333.3</v>
      </c>
    </row>
    <row r="27" spans="1:5" ht="12.75">
      <c r="A27" s="122" t="s">
        <v>343</v>
      </c>
      <c r="B27" s="123"/>
      <c r="C27" s="123"/>
      <c r="D27" s="21"/>
      <c r="E27" s="26">
        <f>330*35.02</f>
        <v>11556.6</v>
      </c>
    </row>
    <row r="28" spans="1:5" ht="12.75">
      <c r="A28" s="122" t="s">
        <v>344</v>
      </c>
      <c r="B28" s="123"/>
      <c r="C28" s="123"/>
      <c r="D28" s="21"/>
      <c r="E28" s="27">
        <f>19600*2.73</f>
        <v>53508</v>
      </c>
    </row>
    <row r="29" spans="1:5" ht="12.75">
      <c r="A29" s="122" t="s">
        <v>345</v>
      </c>
      <c r="B29" s="123"/>
      <c r="C29" s="123"/>
      <c r="D29" s="21"/>
      <c r="E29" s="26">
        <f>0.002*A13*12</f>
        <v>68.748</v>
      </c>
    </row>
    <row r="30" spans="1:5" ht="12.75">
      <c r="A30" s="122" t="s">
        <v>152</v>
      </c>
      <c r="B30" s="123"/>
      <c r="C30" s="123"/>
      <c r="D30" s="21"/>
      <c r="E30" s="26">
        <f>1.44*489.4</f>
        <v>704.736</v>
      </c>
    </row>
    <row r="31" spans="1:5" ht="12.75">
      <c r="A31" s="122" t="s">
        <v>346</v>
      </c>
      <c r="B31" s="123"/>
      <c r="C31" s="123"/>
      <c r="D31" s="21"/>
      <c r="E31" s="26">
        <f>0.29*A13*12</f>
        <v>9968.46</v>
      </c>
    </row>
    <row r="32" spans="1:5" ht="12.75">
      <c r="A32" s="28" t="s">
        <v>249</v>
      </c>
      <c r="B32" s="29" t="s">
        <v>347</v>
      </c>
      <c r="C32" s="29"/>
      <c r="D32" s="21"/>
      <c r="E32" s="6">
        <f>13*120</f>
        <v>1560</v>
      </c>
    </row>
    <row r="33" spans="1:5" ht="12.75">
      <c r="A33" s="124" t="s">
        <v>252</v>
      </c>
      <c r="B33" s="125"/>
      <c r="C33" s="125"/>
      <c r="D33" s="30"/>
      <c r="E33" s="9">
        <v>76671</v>
      </c>
    </row>
    <row r="34" spans="1:5" ht="12.75">
      <c r="A34" s="53" t="s">
        <v>265</v>
      </c>
      <c r="B34" s="54"/>
      <c r="C34" s="54" t="s">
        <v>153</v>
      </c>
      <c r="D34" s="30"/>
      <c r="E34" s="19">
        <f>0.81*A13*12</f>
        <v>27842.940000000002</v>
      </c>
    </row>
    <row r="35" spans="1:5" ht="12.75">
      <c r="A35" s="143" t="s">
        <v>154</v>
      </c>
      <c r="B35" s="144"/>
      <c r="C35" s="144"/>
      <c r="D35" s="30"/>
      <c r="E35" s="19">
        <f>1.63*A13*12</f>
        <v>56029.619999999995</v>
      </c>
    </row>
    <row r="36" spans="1:5" ht="12.75">
      <c r="A36" s="36" t="s">
        <v>215</v>
      </c>
      <c r="B36" s="37"/>
      <c r="C36" s="37" t="s">
        <v>348</v>
      </c>
      <c r="D36" s="38"/>
      <c r="E36" s="9">
        <f>0.003*A13*12</f>
        <v>103.12200000000001</v>
      </c>
    </row>
    <row r="37" spans="1:5" ht="12.75">
      <c r="A37" s="118" t="s">
        <v>335</v>
      </c>
      <c r="B37" s="119"/>
      <c r="C37" s="119"/>
      <c r="D37" s="30"/>
      <c r="E37" s="9">
        <f>E36+E35+E34+E33+E25+E19</f>
        <v>337776.07920000004</v>
      </c>
    </row>
    <row r="38" spans="1:5" ht="12.75" customHeight="1">
      <c r="A38" s="120" t="s">
        <v>430</v>
      </c>
      <c r="B38" s="121"/>
      <c r="C38" s="121"/>
      <c r="D38" s="30"/>
      <c r="E38" s="20">
        <f>E37*0.06</f>
        <v>20266.564752000002</v>
      </c>
    </row>
    <row r="39" spans="1:5" ht="12.75">
      <c r="A39" s="127" t="s">
        <v>155</v>
      </c>
      <c r="B39" s="128"/>
      <c r="C39" s="117"/>
      <c r="D39" s="112"/>
      <c r="E39" s="20">
        <f>(E37+E38)*0.01</f>
        <v>3580.4264395200003</v>
      </c>
    </row>
    <row r="40" spans="1:5" ht="12.75">
      <c r="A40" s="118" t="s">
        <v>257</v>
      </c>
      <c r="B40" s="119"/>
      <c r="C40" s="119"/>
      <c r="D40" s="30"/>
      <c r="E40" s="9">
        <f>SUM(E37:E39)</f>
        <v>361623.07039152</v>
      </c>
    </row>
    <row r="41" spans="1:5" ht="12.75">
      <c r="A41" s="8" t="s">
        <v>248</v>
      </c>
      <c r="B41" s="39"/>
      <c r="C41" s="40"/>
      <c r="D41" s="9" t="s">
        <v>237</v>
      </c>
      <c r="E41" s="113">
        <f>E40/A13/12</f>
        <v>10.520249909568859</v>
      </c>
    </row>
    <row r="42" spans="1:5" ht="12.75">
      <c r="A42" s="11"/>
      <c r="B42" s="12"/>
      <c r="C42" s="13"/>
      <c r="D42" s="13"/>
      <c r="E42" s="1"/>
    </row>
    <row r="45" spans="1:3" ht="12.75">
      <c r="A45" s="62" t="s">
        <v>287</v>
      </c>
      <c r="B45" s="15"/>
      <c r="C45" s="16"/>
    </row>
    <row r="46" spans="1:3" ht="12.75">
      <c r="A46" s="17" t="s">
        <v>286</v>
      </c>
      <c r="B46" s="15"/>
      <c r="C46" s="16"/>
    </row>
  </sheetData>
  <sheetProtection/>
  <mergeCells count="23">
    <mergeCell ref="A38:C38"/>
    <mergeCell ref="A40:C40"/>
    <mergeCell ref="A33:C33"/>
    <mergeCell ref="A39:B39"/>
    <mergeCell ref="A27:C27"/>
    <mergeCell ref="A28:C28"/>
    <mergeCell ref="A29:C29"/>
    <mergeCell ref="A31:C31"/>
    <mergeCell ref="A30:C30"/>
    <mergeCell ref="A35:C35"/>
    <mergeCell ref="A37:C37"/>
    <mergeCell ref="A21:C21"/>
    <mergeCell ref="A22:C22"/>
    <mergeCell ref="A23:C23"/>
    <mergeCell ref="A24:D24"/>
    <mergeCell ref="A25:C25"/>
    <mergeCell ref="A26:C26"/>
    <mergeCell ref="A6:E6"/>
    <mergeCell ref="A11:E11"/>
    <mergeCell ref="A15:A16"/>
    <mergeCell ref="C15:C16"/>
    <mergeCell ref="A18:C18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381</v>
      </c>
      <c r="D3" s="55"/>
    </row>
    <row r="6" spans="1:5" ht="21" customHeight="1">
      <c r="A6" s="134" t="s">
        <v>365</v>
      </c>
      <c r="B6" s="135"/>
      <c r="C6" s="135"/>
      <c r="D6" s="135"/>
      <c r="E6" s="135"/>
    </row>
    <row r="7" spans="1:5" ht="15.75">
      <c r="A7" s="2" t="s">
        <v>237</v>
      </c>
      <c r="B7" s="2"/>
      <c r="C7" s="1"/>
      <c r="D7" s="1"/>
      <c r="E7" s="1"/>
    </row>
    <row r="8" spans="1:5" ht="14.25">
      <c r="A8" s="3" t="s">
        <v>171</v>
      </c>
      <c r="B8" s="1"/>
      <c r="C8" s="1"/>
      <c r="D8" s="1"/>
      <c r="E8" s="1"/>
    </row>
    <row r="9" spans="1:5" ht="14.25">
      <c r="A9" s="3"/>
      <c r="B9" s="1"/>
      <c r="C9" s="1"/>
      <c r="D9" s="52"/>
      <c r="E9" s="1"/>
    </row>
    <row r="10" spans="1:5" ht="14.25">
      <c r="A10" s="3"/>
      <c r="B10" s="1"/>
      <c r="C10" s="1"/>
      <c r="D10" s="1"/>
      <c r="E10" s="1"/>
    </row>
    <row r="11" spans="1:5" ht="12.75">
      <c r="A11" s="136" t="s">
        <v>240</v>
      </c>
      <c r="B11" s="137"/>
      <c r="C11" s="137"/>
      <c r="D11" s="137"/>
      <c r="E11" s="138"/>
    </row>
    <row r="12" spans="1:5" ht="12.75">
      <c r="A12" s="18" t="s">
        <v>241</v>
      </c>
      <c r="B12" s="18" t="s">
        <v>242</v>
      </c>
      <c r="C12" s="18" t="s">
        <v>243</v>
      </c>
      <c r="D12" s="18" t="s">
        <v>244</v>
      </c>
      <c r="E12" s="18" t="s">
        <v>239</v>
      </c>
    </row>
    <row r="13" spans="1:5" ht="14.25">
      <c r="A13" s="51">
        <v>3376.6</v>
      </c>
      <c r="B13" s="49">
        <v>271</v>
      </c>
      <c r="C13" s="49">
        <v>923</v>
      </c>
      <c r="D13" s="49"/>
      <c r="E13" s="7">
        <v>2545</v>
      </c>
    </row>
    <row r="14" spans="1:5" ht="14.25">
      <c r="A14" s="3"/>
      <c r="B14" s="1"/>
      <c r="C14" s="1"/>
      <c r="D14" s="1"/>
      <c r="E14" s="1"/>
    </row>
    <row r="15" spans="1:5" ht="12.75">
      <c r="A15" s="145" t="s">
        <v>245</v>
      </c>
      <c r="B15" s="50" t="s">
        <v>156</v>
      </c>
      <c r="C15" s="147" t="s">
        <v>157</v>
      </c>
      <c r="D15" s="22"/>
      <c r="E15" s="1"/>
    </row>
    <row r="16" spans="1:5" ht="12.75">
      <c r="A16" s="151"/>
      <c r="B16" s="50" t="s">
        <v>158</v>
      </c>
      <c r="C16" s="151"/>
      <c r="D16" s="1"/>
      <c r="E16" s="1"/>
    </row>
    <row r="17" spans="1:5" ht="12.75">
      <c r="A17" s="69"/>
      <c r="B17" s="66"/>
      <c r="C17" s="69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39" t="s">
        <v>234</v>
      </c>
      <c r="B19" s="140"/>
      <c r="C19" s="140"/>
      <c r="D19" s="47"/>
      <c r="E19" s="48" t="s">
        <v>238</v>
      </c>
    </row>
    <row r="20" spans="1:5" ht="12.75">
      <c r="A20" s="41" t="s">
        <v>235</v>
      </c>
      <c r="B20" s="42"/>
      <c r="C20" s="42"/>
      <c r="D20" s="43"/>
      <c r="E20" s="24">
        <f>E22+E23+E24+E25</f>
        <v>59896.9302</v>
      </c>
    </row>
    <row r="21" spans="1:5" ht="12.75">
      <c r="A21" s="141" t="s">
        <v>246</v>
      </c>
      <c r="B21" s="142"/>
      <c r="C21" s="142"/>
      <c r="D21" s="46"/>
      <c r="E21" s="21"/>
    </row>
    <row r="22" spans="1:5" ht="12.75">
      <c r="A22" s="131" t="s">
        <v>159</v>
      </c>
      <c r="B22" s="132"/>
      <c r="C22" s="132"/>
      <c r="D22" s="44"/>
      <c r="E22" s="45">
        <f>0.385*5800*1.75*1.203*12</f>
        <v>56412.279</v>
      </c>
    </row>
    <row r="23" spans="1:5" ht="12.75">
      <c r="A23" s="122" t="s">
        <v>163</v>
      </c>
      <c r="B23" s="123"/>
      <c r="C23" s="123"/>
      <c r="D23" s="21"/>
      <c r="E23" s="26">
        <f>0.012*A13*12</f>
        <v>486.2304</v>
      </c>
    </row>
    <row r="24" spans="1:5" ht="12.75">
      <c r="A24" s="122" t="s">
        <v>164</v>
      </c>
      <c r="B24" s="123"/>
      <c r="C24" s="123"/>
      <c r="D24" s="21"/>
      <c r="E24" s="26">
        <f>0.014*A13*12</f>
        <v>567.2687999999999</v>
      </c>
    </row>
    <row r="25" spans="1:5" ht="12.75">
      <c r="A25" s="122" t="s">
        <v>165</v>
      </c>
      <c r="B25" s="123"/>
      <c r="C25" s="123"/>
      <c r="D25" s="133"/>
      <c r="E25" s="27">
        <f>0.06*A13*12</f>
        <v>2431.1519999999996</v>
      </c>
    </row>
    <row r="26" spans="1:5" ht="12.75">
      <c r="A26" s="129" t="s">
        <v>236</v>
      </c>
      <c r="B26" s="130"/>
      <c r="C26" s="130"/>
      <c r="D26" s="21"/>
      <c r="E26" s="19">
        <f>E27+E28+E29+E30+E31+E33+E32</f>
        <v>71079.65639999999</v>
      </c>
    </row>
    <row r="27" spans="1:5" ht="12.75">
      <c r="A27" s="122" t="s">
        <v>160</v>
      </c>
      <c r="B27" s="123"/>
      <c r="C27" s="123"/>
      <c r="D27" s="21"/>
      <c r="E27" s="26">
        <f>170*1.5*101.01</f>
        <v>25757.550000000003</v>
      </c>
    </row>
    <row r="28" spans="1:5" ht="12.75">
      <c r="A28" s="122" t="s">
        <v>166</v>
      </c>
      <c r="B28" s="123"/>
      <c r="C28" s="123"/>
      <c r="D28" s="21"/>
      <c r="E28" s="26">
        <f>1.5*170*35.02</f>
        <v>8930.1</v>
      </c>
    </row>
    <row r="29" spans="1:5" ht="12.75">
      <c r="A29" s="122" t="s">
        <v>167</v>
      </c>
      <c r="B29" s="123"/>
      <c r="C29" s="123"/>
      <c r="D29" s="21"/>
      <c r="E29" s="27">
        <f>6800*2.89</f>
        <v>19652</v>
      </c>
    </row>
    <row r="30" spans="1:5" ht="12.75">
      <c r="A30" s="122" t="s">
        <v>161</v>
      </c>
      <c r="B30" s="123"/>
      <c r="C30" s="123"/>
      <c r="D30" s="21"/>
      <c r="E30" s="26">
        <f>0.002*A13*12</f>
        <v>81.0384</v>
      </c>
    </row>
    <row r="31" spans="1:5" ht="12.75">
      <c r="A31" s="122" t="s">
        <v>484</v>
      </c>
      <c r="B31" s="123"/>
      <c r="C31" s="123"/>
      <c r="D31" s="21"/>
      <c r="E31" s="26">
        <f>0.29*A13*12</f>
        <v>11750.568</v>
      </c>
    </row>
    <row r="32" spans="1:5" ht="12.75" customHeight="1">
      <c r="A32" s="122" t="s">
        <v>168</v>
      </c>
      <c r="B32" s="123"/>
      <c r="C32" s="123"/>
      <c r="D32" s="21"/>
      <c r="E32" s="26">
        <f>70*5.44+70*16.17*4</f>
        <v>4908.400000000001</v>
      </c>
    </row>
    <row r="33" spans="1:5" ht="12.75">
      <c r="A33" s="28" t="s">
        <v>249</v>
      </c>
      <c r="B33" s="29"/>
      <c r="C33" s="29"/>
      <c r="D33" s="21"/>
      <c r="E33" s="6"/>
    </row>
    <row r="34" spans="1:5" ht="12.75">
      <c r="A34" s="124" t="s">
        <v>252</v>
      </c>
      <c r="B34" s="125"/>
      <c r="C34" s="125"/>
      <c r="D34" s="30"/>
      <c r="E34" s="9">
        <v>151550</v>
      </c>
    </row>
    <row r="35" spans="1:5" ht="12.75">
      <c r="A35" s="53" t="s">
        <v>265</v>
      </c>
      <c r="B35" s="54"/>
      <c r="C35" s="54" t="s">
        <v>169</v>
      </c>
      <c r="D35" s="30"/>
      <c r="E35" s="19">
        <f>0.81*A13*12</f>
        <v>32820.552</v>
      </c>
    </row>
    <row r="36" spans="1:5" ht="12.75">
      <c r="A36" s="143" t="s">
        <v>170</v>
      </c>
      <c r="B36" s="144"/>
      <c r="C36" s="144"/>
      <c r="D36" s="30"/>
      <c r="E36" s="19">
        <f>1.63*A13*12</f>
        <v>66046.29599999999</v>
      </c>
    </row>
    <row r="37" spans="1:5" ht="12.75">
      <c r="A37" s="36" t="s">
        <v>215</v>
      </c>
      <c r="B37" s="37"/>
      <c r="C37" s="37" t="s">
        <v>162</v>
      </c>
      <c r="D37" s="38"/>
      <c r="E37" s="9">
        <f>0.003*A13*12</f>
        <v>121.5576</v>
      </c>
    </row>
    <row r="38" spans="1:5" ht="12.75">
      <c r="A38" s="118" t="s">
        <v>335</v>
      </c>
      <c r="B38" s="119"/>
      <c r="C38" s="119"/>
      <c r="D38" s="30"/>
      <c r="E38" s="9">
        <f>E37+E36+E35+E34+E26+E20</f>
        <v>381514.9922</v>
      </c>
    </row>
    <row r="39" spans="1:5" ht="12.75" customHeight="1">
      <c r="A39" s="120" t="s">
        <v>430</v>
      </c>
      <c r="B39" s="121"/>
      <c r="C39" s="121"/>
      <c r="D39" s="30"/>
      <c r="E39" s="20">
        <f>E38*0.06</f>
        <v>22890.899532</v>
      </c>
    </row>
    <row r="40" spans="1:5" ht="12.75" customHeight="1">
      <c r="A40" s="127" t="s">
        <v>155</v>
      </c>
      <c r="B40" s="128"/>
      <c r="C40" s="114"/>
      <c r="D40" s="30"/>
      <c r="E40" s="20">
        <f>(E38+E39)*0.01</f>
        <v>4044.05891732</v>
      </c>
    </row>
    <row r="41" spans="1:5" ht="12.75">
      <c r="A41" s="118" t="s">
        <v>257</v>
      </c>
      <c r="B41" s="119"/>
      <c r="C41" s="119"/>
      <c r="D41" s="30"/>
      <c r="E41" s="9">
        <f>SUM(E38:E40)</f>
        <v>408449.95064932</v>
      </c>
    </row>
    <row r="42" spans="1:5" ht="12.75">
      <c r="A42" s="8" t="s">
        <v>248</v>
      </c>
      <c r="B42" s="39"/>
      <c r="C42" s="40"/>
      <c r="D42" s="9" t="s">
        <v>237</v>
      </c>
      <c r="E42" s="113">
        <f>E41/A13/12</f>
        <v>10.080405107932043</v>
      </c>
    </row>
    <row r="43" spans="1:5" ht="12.75">
      <c r="A43" s="11"/>
      <c r="B43" s="12"/>
      <c r="C43" s="13"/>
      <c r="D43" s="13"/>
      <c r="E43" s="1"/>
    </row>
    <row r="46" spans="1:3" ht="12.75">
      <c r="A46" s="62" t="s">
        <v>287</v>
      </c>
      <c r="B46" s="15"/>
      <c r="C46" s="16"/>
    </row>
    <row r="47" spans="1:3" ht="12.75">
      <c r="A47" s="17" t="s">
        <v>286</v>
      </c>
      <c r="B47" s="15"/>
      <c r="C47" s="16"/>
    </row>
  </sheetData>
  <sheetProtection/>
  <mergeCells count="23">
    <mergeCell ref="A41:C41"/>
    <mergeCell ref="A32:C32"/>
    <mergeCell ref="A34:C34"/>
    <mergeCell ref="A36:C36"/>
    <mergeCell ref="A38:C38"/>
    <mergeCell ref="A28:C28"/>
    <mergeCell ref="A29:C29"/>
    <mergeCell ref="A30:C30"/>
    <mergeCell ref="A31:C31"/>
    <mergeCell ref="A39:C39"/>
    <mergeCell ref="A40:B40"/>
    <mergeCell ref="A22:C22"/>
    <mergeCell ref="A23:C23"/>
    <mergeCell ref="A24:C24"/>
    <mergeCell ref="A25:D25"/>
    <mergeCell ref="A26:C26"/>
    <mergeCell ref="A27:C27"/>
    <mergeCell ref="A6:E6"/>
    <mergeCell ref="A11:E11"/>
    <mergeCell ref="A15:A16"/>
    <mergeCell ref="C15:C16"/>
    <mergeCell ref="A19:C19"/>
    <mergeCell ref="A21:C21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18.625" style="0" customWidth="1"/>
    <col min="2" max="2" width="20.00390625" style="0" customWidth="1"/>
    <col min="3" max="3" width="15.875" style="0" customWidth="1"/>
    <col min="4" max="4" width="14.375" style="0" customWidth="1"/>
    <col min="5" max="5" width="13.37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381</v>
      </c>
      <c r="D3" s="55"/>
    </row>
    <row r="6" spans="1:5" ht="22.5" customHeight="1">
      <c r="A6" s="134" t="s">
        <v>365</v>
      </c>
      <c r="B6" s="135"/>
      <c r="C6" s="135"/>
      <c r="D6" s="135"/>
      <c r="E6" s="135"/>
    </row>
    <row r="7" spans="1:5" ht="15.75">
      <c r="A7" s="2" t="s">
        <v>237</v>
      </c>
      <c r="B7" s="2"/>
      <c r="C7" s="1"/>
      <c r="D7" s="1"/>
      <c r="E7" s="1"/>
    </row>
    <row r="8" spans="1:5" ht="14.25">
      <c r="A8" s="3" t="s">
        <v>490</v>
      </c>
      <c r="B8" s="1"/>
      <c r="C8" s="1"/>
      <c r="D8" s="1"/>
      <c r="E8" s="1"/>
    </row>
    <row r="9" spans="1:5" ht="14.25">
      <c r="A9" s="3"/>
      <c r="B9" s="1"/>
      <c r="C9" s="1"/>
      <c r="D9" s="52"/>
      <c r="E9" s="1"/>
    </row>
    <row r="10" spans="1:5" ht="14.25">
      <c r="A10" s="3"/>
      <c r="B10" s="1"/>
      <c r="C10" s="1"/>
      <c r="D10" s="1"/>
      <c r="E10" s="1"/>
    </row>
    <row r="11" spans="1:5" ht="12.75">
      <c r="A11" s="136" t="s">
        <v>240</v>
      </c>
      <c r="B11" s="137"/>
      <c r="C11" s="137"/>
      <c r="D11" s="137"/>
      <c r="E11" s="138"/>
    </row>
    <row r="12" spans="1:5" ht="12.75">
      <c r="A12" s="18" t="s">
        <v>241</v>
      </c>
      <c r="B12" s="18" t="s">
        <v>242</v>
      </c>
      <c r="C12" s="18" t="s">
        <v>243</v>
      </c>
      <c r="D12" s="18" t="s">
        <v>244</v>
      </c>
      <c r="E12" s="18" t="s">
        <v>239</v>
      </c>
    </row>
    <row r="13" spans="1:5" ht="14.25">
      <c r="A13" s="51">
        <v>3616.4</v>
      </c>
      <c r="B13" s="49">
        <v>309.2</v>
      </c>
      <c r="C13" s="49">
        <v>1535.5</v>
      </c>
      <c r="D13" s="49"/>
      <c r="E13" s="7">
        <v>1939</v>
      </c>
    </row>
    <row r="14" spans="1:5" ht="14.25">
      <c r="A14" s="3"/>
      <c r="B14" s="1"/>
      <c r="C14" s="1"/>
      <c r="D14" s="1"/>
      <c r="E14" s="1"/>
    </row>
    <row r="15" spans="1:5" ht="12.75">
      <c r="A15" s="145" t="s">
        <v>245</v>
      </c>
      <c r="B15" s="50" t="s">
        <v>489</v>
      </c>
      <c r="C15" s="147" t="s">
        <v>488</v>
      </c>
      <c r="D15" s="22"/>
      <c r="E15" s="1"/>
    </row>
    <row r="16" spans="1:5" ht="12.75">
      <c r="A16" s="151"/>
      <c r="B16" s="50" t="s">
        <v>487</v>
      </c>
      <c r="C16" s="151"/>
      <c r="D16" s="1"/>
      <c r="E16" s="1"/>
    </row>
    <row r="17" spans="1:5" ht="12.75">
      <c r="A17" s="4"/>
      <c r="B17" s="1"/>
      <c r="C17" s="1"/>
      <c r="D17" s="1"/>
      <c r="E17" s="1"/>
    </row>
    <row r="18" spans="1:5" ht="12.75">
      <c r="A18" s="139" t="s">
        <v>234</v>
      </c>
      <c r="B18" s="140"/>
      <c r="C18" s="140"/>
      <c r="D18" s="47"/>
      <c r="E18" s="48" t="s">
        <v>238</v>
      </c>
    </row>
    <row r="19" spans="1:5" ht="12.75">
      <c r="A19" s="41" t="s">
        <v>235</v>
      </c>
      <c r="B19" s="42"/>
      <c r="C19" s="42"/>
      <c r="D19" s="43"/>
      <c r="E19" s="24">
        <f>E21+E22+E23+E24</f>
        <v>98178.2112</v>
      </c>
    </row>
    <row r="20" spans="1:5" ht="12.75">
      <c r="A20" s="141" t="s">
        <v>246</v>
      </c>
      <c r="B20" s="142"/>
      <c r="C20" s="142"/>
      <c r="D20" s="46"/>
      <c r="E20" s="21"/>
    </row>
    <row r="21" spans="1:5" ht="12.75">
      <c r="A21" s="131" t="s">
        <v>491</v>
      </c>
      <c r="B21" s="132"/>
      <c r="C21" s="132"/>
      <c r="D21" s="44"/>
      <c r="E21" s="45">
        <f>0.564*5800*2*1.203*12</f>
        <v>94446.0864</v>
      </c>
    </row>
    <row r="22" spans="1:5" ht="12.75">
      <c r="A22" s="122" t="s">
        <v>172</v>
      </c>
      <c r="B22" s="123"/>
      <c r="C22" s="123"/>
      <c r="D22" s="21"/>
      <c r="E22" s="26">
        <f>0.012*A13*12</f>
        <v>520.7616</v>
      </c>
    </row>
    <row r="23" spans="1:5" ht="12.75">
      <c r="A23" s="122" t="s">
        <v>492</v>
      </c>
      <c r="B23" s="123"/>
      <c r="C23" s="123"/>
      <c r="D23" s="21"/>
      <c r="E23" s="26">
        <f>0.014*A13*12</f>
        <v>607.5552</v>
      </c>
    </row>
    <row r="24" spans="1:5" ht="12.75">
      <c r="A24" s="122" t="s">
        <v>173</v>
      </c>
      <c r="B24" s="123"/>
      <c r="C24" s="123"/>
      <c r="D24" s="133"/>
      <c r="E24" s="27">
        <f>0.06*A13*12</f>
        <v>2603.808</v>
      </c>
    </row>
    <row r="25" spans="1:5" ht="12.75">
      <c r="A25" s="129" t="s">
        <v>236</v>
      </c>
      <c r="B25" s="130"/>
      <c r="C25" s="130"/>
      <c r="D25" s="21"/>
      <c r="E25" s="19">
        <f>E26+E27+E28+E29+E31+E33+E32+E30</f>
        <v>73477.3976</v>
      </c>
    </row>
    <row r="26" spans="1:5" ht="12.75">
      <c r="A26" s="122" t="s">
        <v>493</v>
      </c>
      <c r="B26" s="123"/>
      <c r="C26" s="123"/>
      <c r="D26" s="21"/>
      <c r="E26" s="26">
        <f>180*1.5*101.01</f>
        <v>27272.7</v>
      </c>
    </row>
    <row r="27" spans="1:5" ht="12.75">
      <c r="A27" s="122" t="s">
        <v>174</v>
      </c>
      <c r="B27" s="123"/>
      <c r="C27" s="123"/>
      <c r="D27" s="21"/>
      <c r="E27" s="26">
        <f>180*1.5*35.02</f>
        <v>9455.400000000001</v>
      </c>
    </row>
    <row r="28" spans="1:5" ht="12.75">
      <c r="A28" s="122" t="s">
        <v>175</v>
      </c>
      <c r="B28" s="123"/>
      <c r="C28" s="123"/>
      <c r="D28" s="21"/>
      <c r="E28" s="27">
        <f>5300*2.73</f>
        <v>14469</v>
      </c>
    </row>
    <row r="29" spans="1:5" ht="12.75">
      <c r="A29" s="122" t="s">
        <v>486</v>
      </c>
      <c r="B29" s="123"/>
      <c r="C29" s="123"/>
      <c r="D29" s="21"/>
      <c r="E29" s="26">
        <f>0.002*A13*12</f>
        <v>86.7936</v>
      </c>
    </row>
    <row r="30" spans="1:5" ht="12.75">
      <c r="A30" s="122" t="s">
        <v>485</v>
      </c>
      <c r="B30" s="123"/>
      <c r="C30" s="123"/>
      <c r="D30" s="21"/>
      <c r="E30" s="26">
        <f>1.44*1010.3</f>
        <v>1454.8319999999999</v>
      </c>
    </row>
    <row r="31" spans="1:5" ht="12.75">
      <c r="A31" s="122" t="s">
        <v>484</v>
      </c>
      <c r="B31" s="123"/>
      <c r="C31" s="123"/>
      <c r="D31" s="21"/>
      <c r="E31" s="26">
        <f>0.29*A13*12</f>
        <v>12585.071999999998</v>
      </c>
    </row>
    <row r="32" spans="1:5" ht="12.75">
      <c r="A32" s="122" t="s">
        <v>483</v>
      </c>
      <c r="B32" s="123"/>
      <c r="C32" s="123"/>
      <c r="D32" s="21"/>
      <c r="E32" s="26">
        <f>65*5.44</f>
        <v>353.6</v>
      </c>
    </row>
    <row r="33" spans="1:5" ht="12.75">
      <c r="A33" s="28" t="s">
        <v>249</v>
      </c>
      <c r="B33" s="29" t="s">
        <v>176</v>
      </c>
      <c r="C33" s="29"/>
      <c r="D33" s="21"/>
      <c r="E33" s="6">
        <f>65*120</f>
        <v>7800</v>
      </c>
    </row>
    <row r="34" spans="1:5" ht="12.75">
      <c r="A34" s="124" t="s">
        <v>252</v>
      </c>
      <c r="B34" s="125"/>
      <c r="C34" s="125"/>
      <c r="D34" s="30"/>
      <c r="E34" s="9">
        <v>148750</v>
      </c>
    </row>
    <row r="35" spans="1:5" ht="12.75">
      <c r="A35" s="53" t="s">
        <v>265</v>
      </c>
      <c r="B35" s="54"/>
      <c r="C35" s="54" t="s">
        <v>177</v>
      </c>
      <c r="D35" s="30"/>
      <c r="E35" s="19">
        <f>0.81*A13*12</f>
        <v>35151.408</v>
      </c>
    </row>
    <row r="36" spans="1:5" ht="12.75">
      <c r="A36" s="143" t="s">
        <v>178</v>
      </c>
      <c r="B36" s="144"/>
      <c r="C36" s="144"/>
      <c r="D36" s="30"/>
      <c r="E36" s="19">
        <f>1.63*A13*12</f>
        <v>70736.784</v>
      </c>
    </row>
    <row r="37" spans="1:5" ht="12.75">
      <c r="A37" s="36" t="s">
        <v>215</v>
      </c>
      <c r="B37" s="37"/>
      <c r="C37" s="37" t="s">
        <v>482</v>
      </c>
      <c r="D37" s="38"/>
      <c r="E37" s="9">
        <f>0.003*A13*12</f>
        <v>130.1904</v>
      </c>
    </row>
    <row r="38" spans="1:5" ht="12.75">
      <c r="A38" s="118" t="s">
        <v>335</v>
      </c>
      <c r="B38" s="119"/>
      <c r="C38" s="119"/>
      <c r="D38" s="30"/>
      <c r="E38" s="9">
        <f>E37+E36+E35+E34+E25+E19</f>
        <v>426423.99120000005</v>
      </c>
    </row>
    <row r="39" spans="1:5" ht="12.75">
      <c r="A39" s="120" t="s">
        <v>430</v>
      </c>
      <c r="B39" s="121"/>
      <c r="C39" s="121"/>
      <c r="D39" s="30"/>
      <c r="E39" s="20">
        <f>E38*0.06</f>
        <v>25585.439472000002</v>
      </c>
    </row>
    <row r="40" spans="1:5" ht="12.75">
      <c r="A40" s="127" t="s">
        <v>155</v>
      </c>
      <c r="B40" s="128"/>
      <c r="C40" s="114"/>
      <c r="D40" s="30"/>
      <c r="E40" s="20">
        <f>(E38+E39)*0.01</f>
        <v>4520.0943067200005</v>
      </c>
    </row>
    <row r="41" spans="1:5" ht="12.75">
      <c r="A41" s="118" t="s">
        <v>257</v>
      </c>
      <c r="B41" s="119"/>
      <c r="C41" s="119"/>
      <c r="D41" s="30"/>
      <c r="E41" s="9">
        <f>SUM(E38:E40)</f>
        <v>456529.52497872006</v>
      </c>
    </row>
    <row r="42" spans="1:5" ht="12.75">
      <c r="A42" s="8" t="s">
        <v>248</v>
      </c>
      <c r="B42" s="39"/>
      <c r="C42" s="40"/>
      <c r="D42" s="9" t="s">
        <v>237</v>
      </c>
      <c r="E42" s="113">
        <f>E41/A13/12</f>
        <v>10.519889138801018</v>
      </c>
    </row>
  </sheetData>
  <sheetProtection/>
  <mergeCells count="24">
    <mergeCell ref="A41:C41"/>
    <mergeCell ref="A34:C34"/>
    <mergeCell ref="A36:C36"/>
    <mergeCell ref="A38:C38"/>
    <mergeCell ref="A40:B40"/>
    <mergeCell ref="A32:C32"/>
    <mergeCell ref="A26:C26"/>
    <mergeCell ref="A27:C27"/>
    <mergeCell ref="A28:C28"/>
    <mergeCell ref="A29:C29"/>
    <mergeCell ref="A39:C39"/>
    <mergeCell ref="A22:C22"/>
    <mergeCell ref="A23:C23"/>
    <mergeCell ref="A24:D24"/>
    <mergeCell ref="A25:C25"/>
    <mergeCell ref="A30:C30"/>
    <mergeCell ref="A31:C31"/>
    <mergeCell ref="A18:C18"/>
    <mergeCell ref="A20:C20"/>
    <mergeCell ref="A21:C21"/>
    <mergeCell ref="A6:E6"/>
    <mergeCell ref="A11:E11"/>
    <mergeCell ref="A15:A16"/>
    <mergeCell ref="C15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">
      <selection activeCell="A43" sqref="A43:E43"/>
    </sheetView>
  </sheetViews>
  <sheetFormatPr defaultColWidth="9.00390625" defaultRowHeight="12.75"/>
  <cols>
    <col min="1" max="1" width="18.125" style="0" customWidth="1"/>
    <col min="2" max="2" width="18.375" style="0" customWidth="1"/>
    <col min="3" max="3" width="18.75390625" style="0" customWidth="1"/>
    <col min="4" max="4" width="14.625" style="0" customWidth="1"/>
    <col min="5" max="5" width="12.12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381</v>
      </c>
      <c r="D3" s="55"/>
    </row>
    <row r="8" spans="1:5" ht="20.25" customHeight="1">
      <c r="A8" s="134" t="s">
        <v>365</v>
      </c>
      <c r="B8" s="135"/>
      <c r="C8" s="135"/>
      <c r="D8" s="135"/>
      <c r="E8" s="135"/>
    </row>
    <row r="9" spans="1:5" ht="15.75">
      <c r="A9" s="2" t="s">
        <v>237</v>
      </c>
      <c r="B9" s="2"/>
      <c r="C9" s="1"/>
      <c r="D9" s="1"/>
      <c r="E9" s="1"/>
    </row>
    <row r="10" spans="1:5" ht="14.25">
      <c r="A10" s="3" t="s">
        <v>179</v>
      </c>
      <c r="B10" s="1"/>
      <c r="C10" s="1"/>
      <c r="D10" s="1"/>
      <c r="E10" s="1"/>
    </row>
    <row r="11" spans="1:5" ht="14.25">
      <c r="A11" s="3"/>
      <c r="B11" s="1"/>
      <c r="C11" s="1"/>
      <c r="D11" s="52"/>
      <c r="E11" s="1"/>
    </row>
    <row r="12" spans="1:5" ht="14.25">
      <c r="A12" s="3"/>
      <c r="B12" s="1"/>
      <c r="C12" s="1"/>
      <c r="D12" s="1"/>
      <c r="E12" s="1"/>
    </row>
    <row r="13" spans="1:5" ht="12.75">
      <c r="A13" s="136" t="s">
        <v>240</v>
      </c>
      <c r="B13" s="137"/>
      <c r="C13" s="137"/>
      <c r="D13" s="137"/>
      <c r="E13" s="138"/>
    </row>
    <row r="14" spans="1:5" ht="12.75">
      <c r="A14" s="18" t="s">
        <v>241</v>
      </c>
      <c r="B14" s="18" t="s">
        <v>242</v>
      </c>
      <c r="C14" s="18" t="s">
        <v>243</v>
      </c>
      <c r="D14" s="18" t="s">
        <v>244</v>
      </c>
      <c r="E14" s="18" t="s">
        <v>239</v>
      </c>
    </row>
    <row r="15" spans="1:5" ht="14.25">
      <c r="A15" s="51">
        <v>4881.3</v>
      </c>
      <c r="B15" s="49">
        <v>304.7</v>
      </c>
      <c r="C15" s="49">
        <v>1012.1</v>
      </c>
      <c r="D15" s="49"/>
      <c r="E15" s="7">
        <v>6301</v>
      </c>
    </row>
    <row r="16" spans="1:5" ht="14.25">
      <c r="A16" s="3"/>
      <c r="B16" s="1"/>
      <c r="C16" s="1"/>
      <c r="D16" s="1"/>
      <c r="E16" s="1"/>
    </row>
    <row r="17" spans="1:5" ht="12.75">
      <c r="A17" s="145" t="s">
        <v>245</v>
      </c>
      <c r="B17" s="50" t="s">
        <v>180</v>
      </c>
      <c r="C17" s="147" t="s">
        <v>181</v>
      </c>
      <c r="D17" s="22"/>
      <c r="E17" s="1"/>
    </row>
    <row r="18" spans="1:5" ht="12.75">
      <c r="A18" s="151"/>
      <c r="B18" s="50" t="s">
        <v>182</v>
      </c>
      <c r="C18" s="151"/>
      <c r="D18" s="1"/>
      <c r="E18" s="1"/>
    </row>
    <row r="19" spans="1:5" ht="12.75">
      <c r="A19" s="69"/>
      <c r="B19" s="66"/>
      <c r="C19" s="69"/>
      <c r="D19" s="1"/>
      <c r="E19" s="1"/>
    </row>
    <row r="20" spans="1:5" ht="12.75">
      <c r="A20" s="4"/>
      <c r="B20" s="1"/>
      <c r="C20" s="1"/>
      <c r="D20" s="1"/>
      <c r="E20" s="1"/>
    </row>
    <row r="21" spans="1:5" ht="12.75">
      <c r="A21" s="139" t="s">
        <v>234</v>
      </c>
      <c r="B21" s="140"/>
      <c r="C21" s="140"/>
      <c r="D21" s="47"/>
      <c r="E21" s="48" t="s">
        <v>238</v>
      </c>
    </row>
    <row r="22" spans="1:5" ht="12.75">
      <c r="A22" s="41" t="s">
        <v>235</v>
      </c>
      <c r="B22" s="42"/>
      <c r="C22" s="42"/>
      <c r="D22" s="43"/>
      <c r="E22" s="24">
        <f>E24+E25+E26+E27</f>
        <v>87953.70419999998</v>
      </c>
    </row>
    <row r="23" spans="1:5" ht="12.75">
      <c r="A23" s="141" t="s">
        <v>246</v>
      </c>
      <c r="B23" s="142"/>
      <c r="C23" s="142"/>
      <c r="D23" s="46"/>
      <c r="E23" s="21"/>
    </row>
    <row r="24" spans="1:5" ht="12.75">
      <c r="A24" s="131" t="s">
        <v>183</v>
      </c>
      <c r="B24" s="132"/>
      <c r="C24" s="132"/>
      <c r="D24" s="44"/>
      <c r="E24" s="45">
        <f>0.539*5800*1.75*1.263*12</f>
        <v>82916.20259999999</v>
      </c>
    </row>
    <row r="25" spans="1:5" ht="12.75">
      <c r="A25" s="122" t="s">
        <v>188</v>
      </c>
      <c r="B25" s="123"/>
      <c r="C25" s="123"/>
      <c r="D25" s="21"/>
      <c r="E25" s="26">
        <f>0.012*A15*12</f>
        <v>702.9072</v>
      </c>
    </row>
    <row r="26" spans="1:5" ht="12.75">
      <c r="A26" s="122" t="s">
        <v>189</v>
      </c>
      <c r="B26" s="123"/>
      <c r="C26" s="123"/>
      <c r="D26" s="21"/>
      <c r="E26" s="26">
        <f>0.014*A15*12</f>
        <v>820.0584</v>
      </c>
    </row>
    <row r="27" spans="1:5" ht="12.75">
      <c r="A27" s="122" t="s">
        <v>190</v>
      </c>
      <c r="B27" s="123"/>
      <c r="C27" s="123"/>
      <c r="D27" s="133"/>
      <c r="E27" s="27">
        <f>0.06*A15*12</f>
        <v>3514.536</v>
      </c>
    </row>
    <row r="28" spans="1:5" ht="12.75">
      <c r="A28" s="129" t="s">
        <v>236</v>
      </c>
      <c r="B28" s="130"/>
      <c r="C28" s="130"/>
      <c r="D28" s="21"/>
      <c r="E28" s="19">
        <f>E29+E30+E31+E32+E34+E36+E35+E33</f>
        <v>102221.9502</v>
      </c>
    </row>
    <row r="29" spans="1:5" ht="12.75">
      <c r="A29" s="122" t="s">
        <v>184</v>
      </c>
      <c r="B29" s="123"/>
      <c r="C29" s="123"/>
      <c r="D29" s="21"/>
      <c r="E29" s="26">
        <f>207*1.5*101.01</f>
        <v>31363.605000000003</v>
      </c>
    </row>
    <row r="30" spans="1:5" ht="12.75">
      <c r="A30" s="122" t="s">
        <v>191</v>
      </c>
      <c r="B30" s="123"/>
      <c r="C30" s="123"/>
      <c r="D30" s="21"/>
      <c r="E30" s="26">
        <f>1.5*207*35.02</f>
        <v>10873.710000000001</v>
      </c>
    </row>
    <row r="31" spans="1:5" ht="12.75">
      <c r="A31" s="122" t="s">
        <v>357</v>
      </c>
      <c r="B31" s="123"/>
      <c r="C31" s="123"/>
      <c r="D31" s="21"/>
      <c r="E31" s="27">
        <f>11000*2.73</f>
        <v>30030</v>
      </c>
    </row>
    <row r="32" spans="1:5" ht="12.75">
      <c r="A32" s="122" t="s">
        <v>185</v>
      </c>
      <c r="B32" s="123"/>
      <c r="C32" s="123"/>
      <c r="D32" s="21"/>
      <c r="E32" s="26">
        <f>0.002*A15*12</f>
        <v>117.15120000000002</v>
      </c>
    </row>
    <row r="33" spans="1:5" ht="12.75">
      <c r="A33" s="122" t="s">
        <v>192</v>
      </c>
      <c r="B33" s="123"/>
      <c r="C33" s="123"/>
      <c r="D33" s="21"/>
      <c r="E33" s="26">
        <f>1.44*1084</f>
        <v>1560.96</v>
      </c>
    </row>
    <row r="34" spans="1:5" ht="12.75">
      <c r="A34" s="122" t="s">
        <v>186</v>
      </c>
      <c r="B34" s="123"/>
      <c r="C34" s="123"/>
      <c r="D34" s="21"/>
      <c r="E34" s="26">
        <f>0.29*A15*12</f>
        <v>16986.924</v>
      </c>
    </row>
    <row r="35" spans="1:5" ht="12.75">
      <c r="A35" s="122" t="s">
        <v>193</v>
      </c>
      <c r="B35" s="123"/>
      <c r="C35" s="123"/>
      <c r="D35" s="21"/>
      <c r="E35" s="26">
        <f>90*5.44</f>
        <v>489.6</v>
      </c>
    </row>
    <row r="36" spans="1:5" ht="12.75">
      <c r="A36" s="28" t="s">
        <v>249</v>
      </c>
      <c r="B36" s="29" t="s">
        <v>194</v>
      </c>
      <c r="C36" s="29"/>
      <c r="D36" s="21"/>
      <c r="E36" s="6">
        <f>90*120</f>
        <v>10800</v>
      </c>
    </row>
    <row r="37" spans="1:5" ht="12.75">
      <c r="A37" s="124" t="s">
        <v>252</v>
      </c>
      <c r="B37" s="125"/>
      <c r="C37" s="125"/>
      <c r="D37" s="30"/>
      <c r="E37" s="9">
        <v>242301</v>
      </c>
    </row>
    <row r="38" spans="1:5" ht="12.75">
      <c r="A38" s="53" t="s">
        <v>265</v>
      </c>
      <c r="B38" s="54"/>
      <c r="C38" s="54" t="s">
        <v>195</v>
      </c>
      <c r="D38" s="30"/>
      <c r="E38" s="19">
        <f>0.81*A15*12</f>
        <v>47446.236000000004</v>
      </c>
    </row>
    <row r="39" spans="1:5" ht="12.75">
      <c r="A39" s="143" t="s">
        <v>196</v>
      </c>
      <c r="B39" s="144"/>
      <c r="C39" s="144"/>
      <c r="D39" s="30"/>
      <c r="E39" s="19">
        <f>1.63*A15*12</f>
        <v>95478.22799999999</v>
      </c>
    </row>
    <row r="40" spans="1:5" ht="12.75">
      <c r="A40" s="36" t="s">
        <v>215</v>
      </c>
      <c r="B40" s="37"/>
      <c r="C40" s="37" t="s">
        <v>187</v>
      </c>
      <c r="D40" s="38"/>
      <c r="E40" s="9">
        <f>0.003*A15*12</f>
        <v>175.7268</v>
      </c>
    </row>
    <row r="41" spans="1:5" ht="12.75">
      <c r="A41" s="118" t="s">
        <v>335</v>
      </c>
      <c r="B41" s="119"/>
      <c r="C41" s="119"/>
      <c r="D41" s="30"/>
      <c r="E41" s="9">
        <f>E40+E39+E38+E37+E28+E22</f>
        <v>575576.8452</v>
      </c>
    </row>
    <row r="42" spans="1:5" ht="12.75">
      <c r="A42" s="120" t="s">
        <v>430</v>
      </c>
      <c r="B42" s="121"/>
      <c r="C42" s="121"/>
      <c r="D42" s="30"/>
      <c r="E42" s="20">
        <f>E41*0.06</f>
        <v>34534.610711999994</v>
      </c>
    </row>
    <row r="43" spans="1:5" ht="12.75">
      <c r="A43" s="127" t="s">
        <v>155</v>
      </c>
      <c r="B43" s="128"/>
      <c r="C43" s="114"/>
      <c r="D43" s="30"/>
      <c r="E43" s="20">
        <f>(E41+E42)*0.01</f>
        <v>6101.11455912</v>
      </c>
    </row>
    <row r="44" spans="1:5" ht="12.75">
      <c r="A44" s="118" t="s">
        <v>257</v>
      </c>
      <c r="B44" s="119"/>
      <c r="C44" s="119"/>
      <c r="D44" s="30"/>
      <c r="E44" s="9">
        <f>SUM(E41:E43)</f>
        <v>616212.5704711201</v>
      </c>
    </row>
    <row r="45" spans="1:5" ht="12.75">
      <c r="A45" s="8" t="s">
        <v>248</v>
      </c>
      <c r="B45" s="39"/>
      <c r="C45" s="40"/>
      <c r="D45" s="9" t="s">
        <v>237</v>
      </c>
      <c r="E45" s="113">
        <f>E44/A15/12</f>
        <v>10.519953196742671</v>
      </c>
    </row>
  </sheetData>
  <sheetProtection/>
  <mergeCells count="24">
    <mergeCell ref="A37:C37"/>
    <mergeCell ref="A39:C39"/>
    <mergeCell ref="A41:C41"/>
    <mergeCell ref="A42:C42"/>
    <mergeCell ref="A43:B43"/>
    <mergeCell ref="A44:C44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D27"/>
    <mergeCell ref="A28:C28"/>
    <mergeCell ref="A29:C29"/>
    <mergeCell ref="A8:E8"/>
    <mergeCell ref="A13:E13"/>
    <mergeCell ref="A17:A18"/>
    <mergeCell ref="C17:C18"/>
    <mergeCell ref="A21:C21"/>
    <mergeCell ref="A23:C2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7">
      <selection activeCell="E35" sqref="E35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381</v>
      </c>
      <c r="D3" s="55"/>
    </row>
    <row r="6" spans="1:5" ht="21" customHeight="1">
      <c r="A6" s="134" t="s">
        <v>365</v>
      </c>
      <c r="B6" s="135"/>
      <c r="C6" s="135"/>
      <c r="D6" s="135"/>
      <c r="E6" s="135"/>
    </row>
    <row r="7" spans="1:5" ht="15.75">
      <c r="A7" s="2" t="s">
        <v>237</v>
      </c>
      <c r="B7" s="2"/>
      <c r="C7" s="1"/>
      <c r="D7" s="1"/>
      <c r="E7" s="1"/>
    </row>
    <row r="8" spans="1:5" ht="14.25">
      <c r="A8" s="3" t="s">
        <v>351</v>
      </c>
      <c r="B8" s="1"/>
      <c r="C8" s="1"/>
      <c r="D8" s="1"/>
      <c r="E8" s="1"/>
    </row>
    <row r="9" spans="1:5" ht="14.25">
      <c r="A9" s="3"/>
      <c r="B9" s="1"/>
      <c r="C9" s="1"/>
      <c r="D9" s="52"/>
      <c r="E9" s="1"/>
    </row>
    <row r="10" spans="1:5" ht="14.25">
      <c r="A10" s="3"/>
      <c r="B10" s="1"/>
      <c r="C10" s="1"/>
      <c r="D10" s="1"/>
      <c r="E10" s="1"/>
    </row>
    <row r="11" spans="1:5" ht="12.75">
      <c r="A11" s="136" t="s">
        <v>240</v>
      </c>
      <c r="B11" s="137"/>
      <c r="C11" s="137"/>
      <c r="D11" s="137"/>
      <c r="E11" s="138"/>
    </row>
    <row r="12" spans="1:5" ht="12.75">
      <c r="A12" s="18" t="s">
        <v>241</v>
      </c>
      <c r="B12" s="18" t="s">
        <v>242</v>
      </c>
      <c r="C12" s="18" t="s">
        <v>243</v>
      </c>
      <c r="D12" s="18" t="s">
        <v>244</v>
      </c>
      <c r="E12" s="18" t="s">
        <v>239</v>
      </c>
    </row>
    <row r="13" spans="1:5" ht="14.25">
      <c r="A13" s="51">
        <v>4551.9</v>
      </c>
      <c r="B13" s="49">
        <v>397</v>
      </c>
      <c r="C13" s="49">
        <v>1131</v>
      </c>
      <c r="D13" s="49"/>
      <c r="E13" s="7">
        <v>2840</v>
      </c>
    </row>
    <row r="14" spans="1:5" ht="14.25">
      <c r="A14" s="3"/>
      <c r="B14" s="1"/>
      <c r="C14" s="1"/>
      <c r="D14" s="1"/>
      <c r="E14" s="1"/>
    </row>
    <row r="15" spans="1:5" ht="12.75">
      <c r="A15" s="145" t="s">
        <v>245</v>
      </c>
      <c r="B15" s="50" t="s">
        <v>352</v>
      </c>
      <c r="C15" s="147" t="s">
        <v>354</v>
      </c>
      <c r="D15" s="22"/>
      <c r="E15" s="1"/>
    </row>
    <row r="16" spans="1:5" ht="12.75">
      <c r="A16" s="151"/>
      <c r="B16" s="50" t="s">
        <v>353</v>
      </c>
      <c r="C16" s="151"/>
      <c r="D16" s="1"/>
      <c r="E16" s="1"/>
    </row>
    <row r="17" spans="1:5" ht="12.75">
      <c r="A17" s="4"/>
      <c r="B17" s="1"/>
      <c r="C17" s="1"/>
      <c r="D17" s="1"/>
      <c r="E17" s="1"/>
    </row>
    <row r="18" spans="1:5" ht="12.75">
      <c r="A18" s="139" t="s">
        <v>234</v>
      </c>
      <c r="B18" s="140"/>
      <c r="C18" s="140"/>
      <c r="D18" s="47"/>
      <c r="E18" s="48" t="s">
        <v>238</v>
      </c>
    </row>
    <row r="19" spans="1:5" ht="12.75">
      <c r="A19" s="41" t="s">
        <v>235</v>
      </c>
      <c r="B19" s="42"/>
      <c r="C19" s="42"/>
      <c r="D19" s="43"/>
      <c r="E19" s="24">
        <f>E21+E22+E23+E24</f>
        <v>82062.97200000001</v>
      </c>
    </row>
    <row r="20" spans="1:5" ht="12.75">
      <c r="A20" s="141" t="s">
        <v>246</v>
      </c>
      <c r="B20" s="142"/>
      <c r="C20" s="142"/>
      <c r="D20" s="46"/>
      <c r="E20" s="21"/>
    </row>
    <row r="21" spans="1:5" ht="12.75">
      <c r="A21" s="131" t="s">
        <v>478</v>
      </c>
      <c r="B21" s="132"/>
      <c r="C21" s="132"/>
      <c r="D21" s="44"/>
      <c r="E21" s="45">
        <f>0.462*5800*2*1.203*12</f>
        <v>77365.4112</v>
      </c>
    </row>
    <row r="22" spans="1:5" ht="12.75">
      <c r="A22" s="122" t="s">
        <v>197</v>
      </c>
      <c r="B22" s="123"/>
      <c r="C22" s="123"/>
      <c r="D22" s="21"/>
      <c r="E22" s="26">
        <f>0.012*A13*12</f>
        <v>655.4736</v>
      </c>
    </row>
    <row r="23" spans="1:5" ht="12.75">
      <c r="A23" s="122" t="s">
        <v>479</v>
      </c>
      <c r="B23" s="123"/>
      <c r="C23" s="123"/>
      <c r="D23" s="21"/>
      <c r="E23" s="26">
        <f>0.014*A13*12</f>
        <v>764.7192</v>
      </c>
    </row>
    <row r="24" spans="1:5" ht="12.75">
      <c r="A24" s="122" t="s">
        <v>198</v>
      </c>
      <c r="B24" s="123"/>
      <c r="C24" s="123"/>
      <c r="D24" s="133"/>
      <c r="E24" s="27">
        <f>0.06*A13*12</f>
        <v>3277.3679999999995</v>
      </c>
    </row>
    <row r="25" spans="1:5" ht="12.75">
      <c r="A25" s="129" t="s">
        <v>236</v>
      </c>
      <c r="B25" s="130"/>
      <c r="C25" s="130"/>
      <c r="D25" s="21"/>
      <c r="E25" s="19">
        <f>E26+E27+E28+E29+E31+E33+E30+E32</f>
        <v>110017.38759999999</v>
      </c>
    </row>
    <row r="26" spans="1:5" ht="12.75">
      <c r="A26" s="122" t="s">
        <v>480</v>
      </c>
      <c r="B26" s="123"/>
      <c r="C26" s="123"/>
      <c r="D26" s="21"/>
      <c r="E26" s="26">
        <f>234*1.5*101.01</f>
        <v>35454.51</v>
      </c>
    </row>
    <row r="27" spans="1:5" ht="12.75">
      <c r="A27" s="122" t="s">
        <v>199</v>
      </c>
      <c r="B27" s="123"/>
      <c r="C27" s="123"/>
      <c r="D27" s="21"/>
      <c r="E27" s="26">
        <f>234*1.5*35.02</f>
        <v>12292.02</v>
      </c>
    </row>
    <row r="28" spans="1:5" ht="12.75">
      <c r="A28" s="122" t="s">
        <v>200</v>
      </c>
      <c r="B28" s="123"/>
      <c r="C28" s="123"/>
      <c r="D28" s="21"/>
      <c r="E28" s="27">
        <f>11200*2.73</f>
        <v>30576</v>
      </c>
    </row>
    <row r="29" spans="1:5" ht="12.75">
      <c r="A29" s="122" t="s">
        <v>360</v>
      </c>
      <c r="B29" s="123"/>
      <c r="C29" s="123"/>
      <c r="D29" s="21"/>
      <c r="E29" s="26">
        <f>0.002*A13*12</f>
        <v>109.2456</v>
      </c>
    </row>
    <row r="30" spans="1:5" ht="12.75">
      <c r="A30" s="122" t="s">
        <v>481</v>
      </c>
      <c r="B30" s="123"/>
      <c r="C30" s="123"/>
      <c r="D30" s="21"/>
      <c r="E30" s="26">
        <f>1.44*1100</f>
        <v>1584</v>
      </c>
    </row>
    <row r="31" spans="1:5" ht="12.75">
      <c r="A31" s="122" t="s">
        <v>361</v>
      </c>
      <c r="B31" s="123"/>
      <c r="C31" s="123"/>
      <c r="D31" s="21"/>
      <c r="E31" s="26">
        <f>0.29*A13*12</f>
        <v>15840.611999999997</v>
      </c>
    </row>
    <row r="32" spans="1:5" ht="12.75">
      <c r="A32" s="122" t="s">
        <v>363</v>
      </c>
      <c r="B32" s="123"/>
      <c r="C32" s="123"/>
      <c r="D32" s="21"/>
      <c r="E32" s="26">
        <f>100*5.44+100*16.17</f>
        <v>2161</v>
      </c>
    </row>
    <row r="33" spans="1:5" ht="12.75">
      <c r="A33" s="28" t="s">
        <v>269</v>
      </c>
      <c r="B33" s="29" t="s">
        <v>201</v>
      </c>
      <c r="C33" s="29"/>
      <c r="D33" s="21"/>
      <c r="E33" s="6">
        <f>100*120</f>
        <v>12000</v>
      </c>
    </row>
    <row r="34" spans="1:5" ht="12.75">
      <c r="A34" s="124" t="s">
        <v>252</v>
      </c>
      <c r="B34" s="125"/>
      <c r="C34" s="125"/>
      <c r="D34" s="30"/>
      <c r="E34" s="9">
        <v>211231</v>
      </c>
    </row>
    <row r="35" spans="1:5" ht="12.75">
      <c r="A35" s="53" t="s">
        <v>265</v>
      </c>
      <c r="B35" s="54"/>
      <c r="C35" s="54" t="s">
        <v>202</v>
      </c>
      <c r="D35" s="30"/>
      <c r="E35" s="19">
        <f>0.81*A13*12</f>
        <v>44244.46799999999</v>
      </c>
    </row>
    <row r="36" spans="1:5" ht="12.75">
      <c r="A36" s="143" t="s">
        <v>203</v>
      </c>
      <c r="B36" s="144"/>
      <c r="C36" s="144"/>
      <c r="D36" s="30"/>
      <c r="E36" s="19">
        <f>1.63*A13*12</f>
        <v>89035.16399999999</v>
      </c>
    </row>
    <row r="37" spans="1:5" ht="12.75">
      <c r="A37" s="36" t="s">
        <v>215</v>
      </c>
      <c r="B37" s="37"/>
      <c r="C37" s="37" t="s">
        <v>362</v>
      </c>
      <c r="D37" s="38"/>
      <c r="E37" s="9">
        <f>0.003*A13*12</f>
        <v>163.8684</v>
      </c>
    </row>
    <row r="38" spans="1:5" ht="12.75">
      <c r="A38" s="118" t="s">
        <v>335</v>
      </c>
      <c r="B38" s="119"/>
      <c r="C38" s="119"/>
      <c r="D38" s="30"/>
      <c r="E38" s="9">
        <f>E37+E36+E35+E34+E25+E19</f>
        <v>536754.8600000001</v>
      </c>
    </row>
    <row r="39" spans="1:5" ht="12.75" customHeight="1">
      <c r="A39" s="120" t="s">
        <v>430</v>
      </c>
      <c r="B39" s="121"/>
      <c r="C39" s="121"/>
      <c r="D39" s="30"/>
      <c r="E39" s="20">
        <f>E38*0.06</f>
        <v>32205.291600000004</v>
      </c>
    </row>
    <row r="40" spans="1:5" ht="12.75" customHeight="1">
      <c r="A40" s="127" t="s">
        <v>155</v>
      </c>
      <c r="B40" s="128"/>
      <c r="C40" s="114"/>
      <c r="D40" s="30"/>
      <c r="E40" s="20">
        <f>(E38+E39)*0.01</f>
        <v>5689.6015160000015</v>
      </c>
    </row>
    <row r="41" spans="1:5" ht="12.75">
      <c r="A41" s="118" t="s">
        <v>257</v>
      </c>
      <c r="B41" s="119"/>
      <c r="C41" s="119"/>
      <c r="D41" s="30"/>
      <c r="E41" s="9">
        <f>SUM(E38:E40)</f>
        <v>574649.7531160001</v>
      </c>
    </row>
    <row r="42" spans="1:5" ht="12.75">
      <c r="A42" s="8" t="s">
        <v>248</v>
      </c>
      <c r="B42" s="39"/>
      <c r="C42" s="40"/>
      <c r="D42" s="9" t="s">
        <v>237</v>
      </c>
      <c r="E42" s="113">
        <f>E41/A13/12</f>
        <v>10.520327649186788</v>
      </c>
    </row>
    <row r="43" spans="1:5" ht="12.75">
      <c r="A43" s="11"/>
      <c r="B43" s="12"/>
      <c r="C43" s="13"/>
      <c r="D43" s="13"/>
      <c r="E43" s="1"/>
    </row>
    <row r="46" spans="1:3" ht="0.75" customHeight="1">
      <c r="A46" s="62" t="s">
        <v>287</v>
      </c>
      <c r="B46" s="15"/>
      <c r="C46" s="16"/>
    </row>
    <row r="47" spans="1:3" ht="12.75" hidden="1">
      <c r="A47" s="17" t="s">
        <v>286</v>
      </c>
      <c r="B47" s="15"/>
      <c r="C47" s="16"/>
    </row>
  </sheetData>
  <sheetProtection/>
  <mergeCells count="24">
    <mergeCell ref="A18:C18"/>
    <mergeCell ref="A20:C20"/>
    <mergeCell ref="A21:C21"/>
    <mergeCell ref="A22:C22"/>
    <mergeCell ref="A6:E6"/>
    <mergeCell ref="A11:E11"/>
    <mergeCell ref="A15:A16"/>
    <mergeCell ref="C15:C16"/>
    <mergeCell ref="A27:C27"/>
    <mergeCell ref="A28:C28"/>
    <mergeCell ref="A29:C29"/>
    <mergeCell ref="A30:C30"/>
    <mergeCell ref="A23:C23"/>
    <mergeCell ref="A24:D24"/>
    <mergeCell ref="A25:C25"/>
    <mergeCell ref="A26:C26"/>
    <mergeCell ref="A38:C38"/>
    <mergeCell ref="A39:C39"/>
    <mergeCell ref="A41:C41"/>
    <mergeCell ref="A31:C31"/>
    <mergeCell ref="A34:C34"/>
    <mergeCell ref="A36:C36"/>
    <mergeCell ref="A32:C32"/>
    <mergeCell ref="A40:B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381</v>
      </c>
      <c r="D3" s="55"/>
    </row>
    <row r="6" spans="1:5" ht="21" customHeight="1">
      <c r="A6" s="134" t="s">
        <v>365</v>
      </c>
      <c r="B6" s="134"/>
      <c r="C6" s="134"/>
      <c r="D6" s="134"/>
      <c r="E6" s="134"/>
    </row>
    <row r="7" spans="1:5" ht="15.75">
      <c r="A7" s="2" t="s">
        <v>237</v>
      </c>
      <c r="B7" s="2"/>
      <c r="C7" s="1"/>
      <c r="D7" s="1"/>
      <c r="E7" s="1"/>
    </row>
    <row r="8" spans="1:5" ht="14.25">
      <c r="A8" s="3" t="s">
        <v>358</v>
      </c>
      <c r="B8" s="1"/>
      <c r="C8" s="1"/>
      <c r="D8" s="1"/>
      <c r="E8" s="1"/>
    </row>
    <row r="9" spans="1:5" ht="14.25">
      <c r="A9" s="3"/>
      <c r="B9" s="1"/>
      <c r="C9" s="1"/>
      <c r="D9" s="52" t="s">
        <v>359</v>
      </c>
      <c r="E9" s="1"/>
    </row>
    <row r="10" spans="1:5" ht="14.25">
      <c r="A10" s="3"/>
      <c r="B10" s="1"/>
      <c r="C10" s="1"/>
      <c r="D10" s="1"/>
      <c r="E10" s="1"/>
    </row>
    <row r="11" spans="1:5" ht="12.75" customHeight="1">
      <c r="A11" s="136" t="s">
        <v>240</v>
      </c>
      <c r="B11" s="196"/>
      <c r="C11" s="196"/>
      <c r="D11" s="196"/>
      <c r="E11" s="197"/>
    </row>
    <row r="12" spans="1:5" ht="12.75">
      <c r="A12" s="18" t="s">
        <v>241</v>
      </c>
      <c r="B12" s="18" t="s">
        <v>242</v>
      </c>
      <c r="C12" s="18" t="s">
        <v>243</v>
      </c>
      <c r="D12" s="18" t="s">
        <v>244</v>
      </c>
      <c r="E12" s="18" t="s">
        <v>239</v>
      </c>
    </row>
    <row r="13" spans="1:5" ht="14.25">
      <c r="A13" s="51">
        <v>4602.2</v>
      </c>
      <c r="B13" s="49">
        <v>397</v>
      </c>
      <c r="C13" s="49">
        <v>1131</v>
      </c>
      <c r="D13" s="49"/>
      <c r="E13" s="7">
        <v>2840</v>
      </c>
    </row>
    <row r="14" spans="1:5" ht="14.25">
      <c r="A14" s="3"/>
      <c r="B14" s="1"/>
      <c r="C14" s="1"/>
      <c r="D14" s="1"/>
      <c r="E14" s="1"/>
    </row>
    <row r="15" spans="1:5" ht="12.75" customHeight="1">
      <c r="A15" s="145" t="s">
        <v>245</v>
      </c>
      <c r="B15" s="50" t="s">
        <v>352</v>
      </c>
      <c r="C15" s="147" t="s">
        <v>354</v>
      </c>
      <c r="D15" s="22"/>
      <c r="E15" s="1"/>
    </row>
    <row r="16" spans="1:5" ht="12.75">
      <c r="A16" s="146"/>
      <c r="B16" s="50" t="s">
        <v>353</v>
      </c>
      <c r="C16" s="148"/>
      <c r="D16" s="1"/>
      <c r="E16" s="1"/>
    </row>
    <row r="17" spans="1:5" ht="12.75">
      <c r="A17" s="4"/>
      <c r="B17" s="1"/>
      <c r="C17" s="1"/>
      <c r="D17" s="1"/>
      <c r="E17" s="1"/>
    </row>
    <row r="18" spans="1:5" ht="12.75" customHeight="1">
      <c r="A18" s="139" t="s">
        <v>234</v>
      </c>
      <c r="B18" s="140"/>
      <c r="C18" s="140"/>
      <c r="D18" s="47"/>
      <c r="E18" s="48" t="s">
        <v>238</v>
      </c>
    </row>
    <row r="19" spans="1:5" ht="12.75">
      <c r="A19" s="41" t="s">
        <v>235</v>
      </c>
      <c r="B19" s="42"/>
      <c r="C19" s="42"/>
      <c r="D19" s="43"/>
      <c r="E19" s="24">
        <f>E21+E22+E23+E24</f>
        <v>72444.2052</v>
      </c>
    </row>
    <row r="20" spans="1:5" ht="12.75" customHeight="1">
      <c r="A20" s="141" t="s">
        <v>246</v>
      </c>
      <c r="B20" s="142"/>
      <c r="C20" s="142"/>
      <c r="D20" s="46"/>
      <c r="E20" s="21"/>
    </row>
    <row r="21" spans="1:5" ht="12.75" customHeight="1">
      <c r="A21" s="122" t="s">
        <v>680</v>
      </c>
      <c r="B21" s="123"/>
      <c r="C21" s="123"/>
      <c r="D21" s="44"/>
      <c r="E21" s="45">
        <f>0.462*5800*1.75*1.203*12</f>
        <v>67694.7348</v>
      </c>
    </row>
    <row r="22" spans="1:5" ht="12.75" customHeight="1">
      <c r="A22" s="122" t="s">
        <v>197</v>
      </c>
      <c r="B22" s="123"/>
      <c r="C22" s="123"/>
      <c r="D22" s="21"/>
      <c r="E22" s="26">
        <f>0.012*A13*12</f>
        <v>662.7167999999999</v>
      </c>
    </row>
    <row r="23" spans="1:5" ht="12.75" customHeight="1">
      <c r="A23" s="122" t="s">
        <v>479</v>
      </c>
      <c r="B23" s="123"/>
      <c r="C23" s="123"/>
      <c r="D23" s="21"/>
      <c r="E23" s="26">
        <f>0.014*A13*12</f>
        <v>773.1696000000001</v>
      </c>
    </row>
    <row r="24" spans="1:5" ht="12.75" customHeight="1">
      <c r="A24" s="122" t="s">
        <v>198</v>
      </c>
      <c r="B24" s="123"/>
      <c r="C24" s="123"/>
      <c r="D24" s="190"/>
      <c r="E24" s="27">
        <f>0.06*A13*12</f>
        <v>3313.584</v>
      </c>
    </row>
    <row r="25" spans="1:5" ht="12.75" customHeight="1">
      <c r="A25" s="129" t="s">
        <v>236</v>
      </c>
      <c r="B25" s="130"/>
      <c r="C25" s="130"/>
      <c r="D25" s="21"/>
      <c r="E25" s="19">
        <f>E26+E27+E28+E29+E31+E33+E30+E32</f>
        <v>133520.9038</v>
      </c>
    </row>
    <row r="26" spans="1:5" ht="12.75" customHeight="1">
      <c r="A26" s="122" t="s">
        <v>480</v>
      </c>
      <c r="B26" s="123"/>
      <c r="C26" s="123"/>
      <c r="D26" s="21"/>
      <c r="E26" s="26">
        <f>351*1.5*101.01</f>
        <v>53181.765</v>
      </c>
    </row>
    <row r="27" spans="1:5" ht="12.75" customHeight="1">
      <c r="A27" s="122" t="s">
        <v>356</v>
      </c>
      <c r="B27" s="123"/>
      <c r="C27" s="123"/>
      <c r="D27" s="21"/>
      <c r="E27" s="26">
        <f>351*1.5*35.02</f>
        <v>18438.030000000002</v>
      </c>
    </row>
    <row r="28" spans="1:5" ht="12.75" customHeight="1">
      <c r="A28" s="122" t="s">
        <v>357</v>
      </c>
      <c r="B28" s="123"/>
      <c r="C28" s="123"/>
      <c r="D28" s="21"/>
      <c r="E28" s="27">
        <f>11000*2.73</f>
        <v>30030</v>
      </c>
    </row>
    <row r="29" spans="1:5" ht="12.75" customHeight="1">
      <c r="A29" s="122" t="s">
        <v>360</v>
      </c>
      <c r="B29" s="123"/>
      <c r="C29" s="123"/>
      <c r="D29" s="21"/>
      <c r="E29" s="26">
        <f>0.002*A13*12</f>
        <v>110.4528</v>
      </c>
    </row>
    <row r="30" spans="1:5" ht="12.75" customHeight="1">
      <c r="A30" s="122" t="s">
        <v>481</v>
      </c>
      <c r="B30" s="123"/>
      <c r="C30" s="123"/>
      <c r="D30" s="21"/>
      <c r="E30" s="26">
        <f>1.44*1100</f>
        <v>1584</v>
      </c>
    </row>
    <row r="31" spans="1:5" ht="12.75" customHeight="1">
      <c r="A31" s="122" t="s">
        <v>361</v>
      </c>
      <c r="B31" s="123"/>
      <c r="C31" s="123"/>
      <c r="D31" s="21"/>
      <c r="E31" s="26">
        <f>0.29*A13*12</f>
        <v>16015.655999999999</v>
      </c>
    </row>
    <row r="32" spans="1:5" ht="12.75" customHeight="1">
      <c r="A32" s="122" t="s">
        <v>363</v>
      </c>
      <c r="B32" s="123"/>
      <c r="C32" s="123"/>
      <c r="D32" s="21"/>
      <c r="E32" s="26">
        <f>100*5.44+100*16.17</f>
        <v>2161</v>
      </c>
    </row>
    <row r="33" spans="1:5" ht="12.75" customHeight="1">
      <c r="A33" s="28" t="s">
        <v>269</v>
      </c>
      <c r="B33" s="29" t="s">
        <v>355</v>
      </c>
      <c r="C33" s="29"/>
      <c r="D33" s="21"/>
      <c r="E33" s="6">
        <f>100*120</f>
        <v>12000</v>
      </c>
    </row>
    <row r="34" spans="1:5" ht="12.75" customHeight="1">
      <c r="A34" s="194" t="s">
        <v>252</v>
      </c>
      <c r="B34" s="195"/>
      <c r="C34" s="195"/>
      <c r="D34" s="30"/>
      <c r="E34" s="9">
        <v>201761</v>
      </c>
    </row>
    <row r="35" spans="1:5" ht="12.75" customHeight="1">
      <c r="A35" s="53" t="s">
        <v>265</v>
      </c>
      <c r="B35" s="54"/>
      <c r="C35" s="54" t="s">
        <v>202</v>
      </c>
      <c r="D35" s="30"/>
      <c r="E35" s="19">
        <f>0.81*A13*12</f>
        <v>44733.384000000005</v>
      </c>
    </row>
    <row r="36" spans="1:5" ht="12.75" customHeight="1">
      <c r="A36" s="180" t="s">
        <v>203</v>
      </c>
      <c r="B36" s="191"/>
      <c r="C36" s="191"/>
      <c r="D36" s="30"/>
      <c r="E36" s="19">
        <f>1.63*A13*12</f>
        <v>90019.03199999999</v>
      </c>
    </row>
    <row r="37" spans="1:5" ht="12.75" customHeight="1">
      <c r="A37" s="36" t="s">
        <v>215</v>
      </c>
      <c r="B37" s="37"/>
      <c r="C37" s="37" t="s">
        <v>362</v>
      </c>
      <c r="D37" s="38"/>
      <c r="E37" s="9">
        <f>0.003*A13*12</f>
        <v>165.67919999999998</v>
      </c>
    </row>
    <row r="38" spans="1:5" ht="12.75" customHeight="1">
      <c r="A38" s="192" t="s">
        <v>335</v>
      </c>
      <c r="B38" s="193"/>
      <c r="C38" s="193"/>
      <c r="D38" s="30"/>
      <c r="E38" s="9">
        <f>E37+E36+E35+E34+E25+E19</f>
        <v>542644.2041999999</v>
      </c>
    </row>
    <row r="39" spans="1:5" ht="12.75" customHeight="1">
      <c r="A39" s="120" t="s">
        <v>430</v>
      </c>
      <c r="B39" s="121"/>
      <c r="C39" s="121"/>
      <c r="D39" s="30"/>
      <c r="E39" s="20">
        <f>E38*0.06</f>
        <v>32558.652251999993</v>
      </c>
    </row>
    <row r="40" spans="1:5" ht="12.75" customHeight="1">
      <c r="A40" s="127" t="s">
        <v>155</v>
      </c>
      <c r="B40" s="128"/>
      <c r="C40" s="114"/>
      <c r="D40" s="30"/>
      <c r="E40" s="20">
        <f>(E38+E39)*0.01</f>
        <v>5752.028564519998</v>
      </c>
    </row>
    <row r="41" spans="1:5" ht="12.75" customHeight="1">
      <c r="A41" s="192" t="s">
        <v>257</v>
      </c>
      <c r="B41" s="193"/>
      <c r="C41" s="193"/>
      <c r="D41" s="30"/>
      <c r="E41" s="9">
        <f>SUM(E38:E40)</f>
        <v>580954.8850165198</v>
      </c>
    </row>
    <row r="42" spans="1:5" ht="12.75">
      <c r="A42" s="8" t="s">
        <v>248</v>
      </c>
      <c r="B42" s="39"/>
      <c r="C42" s="40"/>
      <c r="D42" s="9" t="s">
        <v>237</v>
      </c>
      <c r="E42" s="113">
        <f>E41/A13/12</f>
        <v>10.519513946527745</v>
      </c>
    </row>
    <row r="43" spans="1:5" ht="12.75" customHeight="1">
      <c r="A43" s="11"/>
      <c r="B43" s="12"/>
      <c r="C43" s="13"/>
      <c r="D43" s="13"/>
      <c r="E43" s="1"/>
    </row>
    <row r="46" spans="1:3" ht="12.75">
      <c r="A46" s="62" t="s">
        <v>287</v>
      </c>
      <c r="B46" s="15"/>
      <c r="C46" s="16"/>
    </row>
    <row r="47" spans="1:3" ht="12.75">
      <c r="A47" s="17" t="s">
        <v>286</v>
      </c>
      <c r="B47" s="15"/>
      <c r="C47" s="16"/>
    </row>
  </sheetData>
  <sheetProtection/>
  <mergeCells count="24">
    <mergeCell ref="A18:C18"/>
    <mergeCell ref="A20:C20"/>
    <mergeCell ref="A21:C21"/>
    <mergeCell ref="A22:C22"/>
    <mergeCell ref="A6:E6"/>
    <mergeCell ref="A11:E11"/>
    <mergeCell ref="A15:A16"/>
    <mergeCell ref="C15:C16"/>
    <mergeCell ref="A27:C27"/>
    <mergeCell ref="A28:C28"/>
    <mergeCell ref="A29:C29"/>
    <mergeCell ref="A30:C30"/>
    <mergeCell ref="A23:C23"/>
    <mergeCell ref="A24:D24"/>
    <mergeCell ref="A25:C25"/>
    <mergeCell ref="A26:C26"/>
    <mergeCell ref="A36:C36"/>
    <mergeCell ref="A41:C41"/>
    <mergeCell ref="A38:C38"/>
    <mergeCell ref="A39:C39"/>
    <mergeCell ref="A40:B40"/>
    <mergeCell ref="A31:C31"/>
    <mergeCell ref="A32:C32"/>
    <mergeCell ref="A34:C3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7"/>
  <sheetViews>
    <sheetView zoomScalePageLayoutView="0" workbookViewId="0" topLeftCell="A10">
      <selection activeCell="A38" sqref="A38:E38"/>
    </sheetView>
  </sheetViews>
  <sheetFormatPr defaultColWidth="12.75390625" defaultRowHeight="12.75"/>
  <cols>
    <col min="1" max="1" width="16.75390625" style="0" customWidth="1"/>
    <col min="2" max="2" width="20.00390625" style="0" customWidth="1"/>
    <col min="3" max="3" width="15.875" style="0" customWidth="1"/>
    <col min="4" max="4" width="17.875" style="0" customWidth="1"/>
  </cols>
  <sheetData>
    <row r="2" spans="1:5" ht="22.5" customHeight="1">
      <c r="A2" s="134" t="s">
        <v>365</v>
      </c>
      <c r="B2" s="135"/>
      <c r="C2" s="135"/>
      <c r="D2" s="135"/>
      <c r="E2" s="135"/>
    </row>
    <row r="4" spans="6:15" ht="22.5" customHeight="1"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2" t="s">
        <v>237</v>
      </c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4.25">
      <c r="A6" s="3" t="s">
        <v>225</v>
      </c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4.25">
      <c r="A7" s="3"/>
      <c r="B7" s="1"/>
      <c r="C7" s="1"/>
      <c r="D7" s="52" t="s">
        <v>223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136" t="s">
        <v>240</v>
      </c>
      <c r="B9" s="137"/>
      <c r="C9" s="137"/>
      <c r="D9" s="137"/>
      <c r="E9" s="138"/>
      <c r="F9" s="25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8" t="s">
        <v>241</v>
      </c>
      <c r="B10" s="18" t="s">
        <v>242</v>
      </c>
      <c r="C10" s="18" t="s">
        <v>243</v>
      </c>
      <c r="D10" s="18" t="s">
        <v>244</v>
      </c>
      <c r="E10" s="18" t="s">
        <v>239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4.25">
      <c r="A11" s="51">
        <v>288.5</v>
      </c>
      <c r="B11" s="7"/>
      <c r="C11" s="7">
        <v>304</v>
      </c>
      <c r="D11" s="7"/>
      <c r="E11" s="7">
        <v>761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 customHeight="1">
      <c r="A13" s="145" t="s">
        <v>245</v>
      </c>
      <c r="B13" s="50" t="s">
        <v>226</v>
      </c>
      <c r="C13" s="147" t="s">
        <v>210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51"/>
      <c r="B14" s="50" t="s">
        <v>227</v>
      </c>
      <c r="C14" s="15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69"/>
      <c r="B15" s="66"/>
      <c r="C15" s="6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7" customHeight="1">
      <c r="A17" s="139" t="s">
        <v>234</v>
      </c>
      <c r="B17" s="140"/>
      <c r="C17" s="140"/>
      <c r="D17" s="47"/>
      <c r="E17" s="48" t="s">
        <v>238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41" t="s">
        <v>235</v>
      </c>
      <c r="B18" s="42"/>
      <c r="C18" s="42"/>
      <c r="D18" s="43"/>
      <c r="E18" s="24">
        <f>E20+E21+E22+E23</f>
        <v>21229.932000000004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41" t="s">
        <v>246</v>
      </c>
      <c r="B19" s="142"/>
      <c r="C19" s="142"/>
      <c r="D19" s="46"/>
      <c r="E19" s="2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>
      <c r="A20" s="131" t="s">
        <v>534</v>
      </c>
      <c r="B20" s="132"/>
      <c r="C20" s="132"/>
      <c r="D20" s="44"/>
      <c r="E20" s="45">
        <f>0.125*5800*2*1.203*12</f>
        <v>20932.2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22" t="s">
        <v>541</v>
      </c>
      <c r="B21" s="123"/>
      <c r="C21" s="123"/>
      <c r="D21" s="21"/>
      <c r="E21" s="26">
        <f>0.012*A11*12</f>
        <v>41.544000000000004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22" t="s">
        <v>302</v>
      </c>
      <c r="B22" s="123"/>
      <c r="C22" s="123"/>
      <c r="D22" s="21"/>
      <c r="E22" s="26">
        <f>0.014*A11*12</f>
        <v>48.467999999999996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22" t="s">
        <v>460</v>
      </c>
      <c r="B23" s="123"/>
      <c r="C23" s="123"/>
      <c r="D23" s="133"/>
      <c r="E23" s="27">
        <f>0.06*A11*12</f>
        <v>207.71999999999997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29" t="s">
        <v>236</v>
      </c>
      <c r="B24" s="130"/>
      <c r="C24" s="130"/>
      <c r="D24" s="21"/>
      <c r="E24" s="19">
        <f>E25+E26+E27+E28+E29+E30+E31</f>
        <v>6343.724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22" t="s">
        <v>535</v>
      </c>
      <c r="B25" s="123"/>
      <c r="C25" s="123"/>
      <c r="D25" s="21"/>
      <c r="E25" s="26">
        <f>8*1.5*101.01</f>
        <v>1212.1200000000001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22" t="s">
        <v>228</v>
      </c>
      <c r="B26" s="123"/>
      <c r="C26" s="123"/>
      <c r="D26" s="21"/>
      <c r="E26" s="26">
        <f>12*35.02</f>
        <v>420.24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22" t="s">
        <v>229</v>
      </c>
      <c r="B27" s="123"/>
      <c r="C27" s="123"/>
      <c r="D27" s="21"/>
      <c r="E27" s="27">
        <f>1150*2.73</f>
        <v>3139.5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22" t="s">
        <v>230</v>
      </c>
      <c r="B28" s="123"/>
      <c r="C28" s="123"/>
      <c r="D28" s="21"/>
      <c r="E28" s="26">
        <f>0.002*A11*12</f>
        <v>6.9239999999999995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22" t="s">
        <v>231</v>
      </c>
      <c r="B29" s="123"/>
      <c r="C29" s="123"/>
      <c r="D29" s="21"/>
      <c r="E29" s="26">
        <f>0.29*A11*12</f>
        <v>1003.9799999999999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22" t="s">
        <v>224</v>
      </c>
      <c r="B30" s="123"/>
      <c r="C30" s="123"/>
      <c r="D30" s="21"/>
      <c r="E30" s="68">
        <f>8*5.44+(8*16.17*4)</f>
        <v>560.96</v>
      </c>
      <c r="F30" s="67"/>
      <c r="G30" s="67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28" t="s">
        <v>249</v>
      </c>
      <c r="B31" s="29" t="s">
        <v>232</v>
      </c>
      <c r="C31" s="29"/>
      <c r="D31" s="21"/>
      <c r="E31" s="6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24" t="s">
        <v>252</v>
      </c>
      <c r="B32" s="125"/>
      <c r="C32" s="125"/>
      <c r="D32" s="30"/>
      <c r="E32" s="9">
        <v>40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31" t="s">
        <v>253</v>
      </c>
      <c r="B33" s="126" t="s">
        <v>542</v>
      </c>
      <c r="C33" s="126"/>
      <c r="D33" s="30"/>
      <c r="E33" s="19">
        <f>0.81*A11*12</f>
        <v>2804.2200000000003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32" t="s">
        <v>254</v>
      </c>
      <c r="B34" s="33"/>
      <c r="C34" s="34" t="s">
        <v>543</v>
      </c>
      <c r="D34" s="35"/>
      <c r="E34" s="19">
        <f>1.63*A11*12</f>
        <v>5643.0599999999995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36" t="s">
        <v>255</v>
      </c>
      <c r="B35" s="37"/>
      <c r="C35" s="37" t="s">
        <v>233</v>
      </c>
      <c r="D35" s="38"/>
      <c r="E35" s="19">
        <f>0.003*A11*12</f>
        <v>10.386000000000001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 customHeight="1">
      <c r="A36" s="118" t="s">
        <v>256</v>
      </c>
      <c r="B36" s="119"/>
      <c r="C36" s="119"/>
      <c r="D36" s="30"/>
      <c r="E36" s="9">
        <f>E35+E34+E33+E32+E24+E18</f>
        <v>36071.32200000001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120" t="s">
        <v>364</v>
      </c>
      <c r="B37" s="121"/>
      <c r="C37" s="121"/>
      <c r="D37" s="30"/>
      <c r="E37" s="20">
        <f>E36*0</f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>
      <c r="A38" s="127" t="s">
        <v>544</v>
      </c>
      <c r="B38" s="128"/>
      <c r="C38" s="114"/>
      <c r="D38" s="30"/>
      <c r="E38" s="20">
        <f>(E36+E37)*0.01</f>
        <v>360.7132200000001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18" t="s">
        <v>247</v>
      </c>
      <c r="B39" s="119"/>
      <c r="C39" s="119"/>
      <c r="D39" s="30"/>
      <c r="E39" s="9">
        <f>SUM(E36:E38)</f>
        <v>36432.035220000005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8" t="s">
        <v>248</v>
      </c>
      <c r="B40" s="39"/>
      <c r="C40" s="40"/>
      <c r="D40" s="9"/>
      <c r="E40" s="56">
        <f>E39/A11/12</f>
        <v>10.52340705372617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1"/>
      <c r="B41" s="12"/>
      <c r="C41" s="13"/>
      <c r="D41" s="13"/>
      <c r="E41" s="63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1"/>
      <c r="B42" s="12"/>
      <c r="C42" s="13"/>
      <c r="D42" s="13"/>
      <c r="E42" s="63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1"/>
      <c r="B43" s="12"/>
      <c r="C43" s="13"/>
      <c r="D43" s="13"/>
      <c r="E43" s="63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3.5" customHeight="1">
      <c r="A44" s="11"/>
      <c r="B44" s="12"/>
      <c r="C44" s="65"/>
      <c r="D44" s="1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1"/>
      <c r="B45" s="12"/>
      <c r="C45" s="14"/>
      <c r="D45" s="1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1"/>
      <c r="B46" s="12"/>
      <c r="C46" s="14"/>
      <c r="D46" s="1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5"/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7"/>
      <c r="B48" s="15"/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 t="s">
        <v>237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60" spans="1:5" ht="22.5" customHeight="1">
      <c r="A60" s="134" t="s">
        <v>365</v>
      </c>
      <c r="B60" s="135"/>
      <c r="C60" s="135"/>
      <c r="D60" s="135"/>
      <c r="E60" s="135"/>
    </row>
    <row r="61" ht="12.75">
      <c r="C61" t="s">
        <v>538</v>
      </c>
    </row>
    <row r="63" spans="1:5" ht="15.75">
      <c r="A63" s="2" t="s">
        <v>237</v>
      </c>
      <c r="B63" s="2"/>
      <c r="C63" s="1"/>
      <c r="D63" s="1"/>
      <c r="E63" s="1"/>
    </row>
    <row r="64" spans="1:5" ht="14.25">
      <c r="A64" s="3" t="s">
        <v>225</v>
      </c>
      <c r="B64" s="1"/>
      <c r="D64" s="1"/>
      <c r="E64" s="1"/>
    </row>
    <row r="65" spans="1:5" ht="14.25">
      <c r="A65" s="3"/>
      <c r="B65" s="1"/>
      <c r="C65" s="1"/>
      <c r="D65" s="52" t="s">
        <v>223</v>
      </c>
      <c r="E65" s="1"/>
    </row>
    <row r="66" spans="1:5" ht="14.25">
      <c r="A66" s="3"/>
      <c r="B66" s="1"/>
      <c r="C66" s="1"/>
      <c r="D66" s="1"/>
      <c r="E66" s="1"/>
    </row>
    <row r="67" spans="1:5" ht="12.75">
      <c r="A67" s="136" t="s">
        <v>240</v>
      </c>
      <c r="B67" s="137"/>
      <c r="C67" s="137"/>
      <c r="D67" s="137"/>
      <c r="E67" s="138"/>
    </row>
    <row r="68" spans="1:5" ht="12.75">
      <c r="A68" s="18" t="s">
        <v>241</v>
      </c>
      <c r="B68" s="18" t="s">
        <v>242</v>
      </c>
      <c r="C68" s="18" t="s">
        <v>243</v>
      </c>
      <c r="D68" s="18" t="s">
        <v>244</v>
      </c>
      <c r="E68" s="18" t="s">
        <v>239</v>
      </c>
    </row>
    <row r="69" spans="1:5" ht="14.25">
      <c r="A69" s="51">
        <v>288.5</v>
      </c>
      <c r="B69" s="7"/>
      <c r="C69" s="7">
        <v>304</v>
      </c>
      <c r="D69" s="7"/>
      <c r="E69" s="7">
        <v>761</v>
      </c>
    </row>
    <row r="70" spans="1:5" ht="14.25">
      <c r="A70" s="3"/>
      <c r="B70" s="1"/>
      <c r="C70" s="1"/>
      <c r="D70" s="1"/>
      <c r="E70" s="1"/>
    </row>
    <row r="71" spans="1:5" ht="12.75">
      <c r="A71" s="145" t="s">
        <v>245</v>
      </c>
      <c r="B71" s="50" t="s">
        <v>226</v>
      </c>
      <c r="C71" s="147" t="s">
        <v>210</v>
      </c>
      <c r="D71" s="22"/>
      <c r="E71" s="1"/>
    </row>
    <row r="72" spans="1:5" ht="12.75">
      <c r="A72" s="151"/>
      <c r="B72" s="50" t="s">
        <v>227</v>
      </c>
      <c r="C72" s="151"/>
      <c r="D72" s="1"/>
      <c r="E72" s="1"/>
    </row>
    <row r="73" spans="1:5" ht="12.75">
      <c r="A73" s="69"/>
      <c r="B73" s="66"/>
      <c r="C73" s="69"/>
      <c r="D73" s="1"/>
      <c r="E73" s="1"/>
    </row>
    <row r="74" spans="1:5" ht="12.75">
      <c r="A74" s="4"/>
      <c r="B74" s="1"/>
      <c r="C74" s="1"/>
      <c r="D74" s="1"/>
      <c r="E74" s="1"/>
    </row>
    <row r="75" spans="1:5" ht="12.75">
      <c r="A75" s="139" t="s">
        <v>234</v>
      </c>
      <c r="B75" s="140"/>
      <c r="C75" s="140"/>
      <c r="D75" s="47"/>
      <c r="E75" s="48" t="s">
        <v>238</v>
      </c>
    </row>
    <row r="76" spans="1:5" ht="12.75">
      <c r="A76" s="41" t="s">
        <v>235</v>
      </c>
      <c r="B76" s="42"/>
      <c r="C76" s="42"/>
      <c r="D76" s="43"/>
      <c r="E76" s="24">
        <f>E78+E79+E80+E81</f>
        <v>21229.932000000004</v>
      </c>
    </row>
    <row r="77" spans="1:5" ht="12.75">
      <c r="A77" s="141" t="s">
        <v>246</v>
      </c>
      <c r="B77" s="142"/>
      <c r="C77" s="142"/>
      <c r="D77" s="46"/>
      <c r="E77" s="21"/>
    </row>
    <row r="78" spans="1:5" ht="12.75">
      <c r="A78" s="131" t="s">
        <v>534</v>
      </c>
      <c r="B78" s="132"/>
      <c r="C78" s="132"/>
      <c r="D78" s="44"/>
      <c r="E78" s="45">
        <f>0.125*5800*2*1.203*12</f>
        <v>20932.2</v>
      </c>
    </row>
    <row r="79" spans="1:5" ht="12.75">
      <c r="A79" s="122" t="s">
        <v>541</v>
      </c>
      <c r="B79" s="123"/>
      <c r="C79" s="123"/>
      <c r="D79" s="21"/>
      <c r="E79" s="26">
        <f>0.012*A69*12</f>
        <v>41.544000000000004</v>
      </c>
    </row>
    <row r="80" spans="1:5" ht="12.75">
      <c r="A80" s="122" t="s">
        <v>302</v>
      </c>
      <c r="B80" s="123"/>
      <c r="C80" s="123"/>
      <c r="D80" s="21"/>
      <c r="E80" s="26">
        <f>0.014*A69*12</f>
        <v>48.467999999999996</v>
      </c>
    </row>
    <row r="81" spans="1:5" ht="12.75">
      <c r="A81" s="122" t="s">
        <v>460</v>
      </c>
      <c r="B81" s="123"/>
      <c r="C81" s="123"/>
      <c r="D81" s="133"/>
      <c r="E81" s="27">
        <f>0.06*A69*12</f>
        <v>207.71999999999997</v>
      </c>
    </row>
    <row r="82" spans="1:5" ht="12.75">
      <c r="A82" s="129" t="s">
        <v>236</v>
      </c>
      <c r="B82" s="130"/>
      <c r="C82" s="130"/>
      <c r="D82" s="21"/>
      <c r="E82" s="19">
        <f>E83+E84+E85+E86+E87+E88+E89</f>
        <v>6579.4839999999995</v>
      </c>
    </row>
    <row r="83" spans="1:5" ht="12.75">
      <c r="A83" s="122" t="s">
        <v>535</v>
      </c>
      <c r="B83" s="123"/>
      <c r="C83" s="123"/>
      <c r="D83" s="21"/>
      <c r="E83" s="26">
        <f>8*1.5*101.01</f>
        <v>1212.1200000000001</v>
      </c>
    </row>
    <row r="84" spans="1:5" ht="12.75">
      <c r="A84" s="122" t="s">
        <v>536</v>
      </c>
      <c r="B84" s="123"/>
      <c r="C84" s="123"/>
      <c r="D84" s="21"/>
      <c r="E84" s="26">
        <f>12*38.06</f>
        <v>456.72</v>
      </c>
    </row>
    <row r="85" spans="1:5" ht="12.75">
      <c r="A85" s="122" t="s">
        <v>539</v>
      </c>
      <c r="B85" s="123"/>
      <c r="C85" s="123"/>
      <c r="D85" s="21"/>
      <c r="E85" s="27">
        <f>1150*2.89</f>
        <v>3323.5</v>
      </c>
    </row>
    <row r="86" spans="1:5" ht="12.75">
      <c r="A86" s="122" t="s">
        <v>230</v>
      </c>
      <c r="B86" s="123"/>
      <c r="C86" s="123"/>
      <c r="D86" s="21"/>
      <c r="E86" s="26">
        <f>0.002*A69*12</f>
        <v>6.9239999999999995</v>
      </c>
    </row>
    <row r="87" spans="1:5" ht="12.75">
      <c r="A87" s="122" t="s">
        <v>231</v>
      </c>
      <c r="B87" s="123"/>
      <c r="C87" s="123"/>
      <c r="D87" s="21"/>
      <c r="E87" s="26">
        <f>0.29*A69*12</f>
        <v>1003.9799999999999</v>
      </c>
    </row>
    <row r="88" spans="1:5" ht="12.75">
      <c r="A88" s="122" t="s">
        <v>537</v>
      </c>
      <c r="B88" s="123"/>
      <c r="C88" s="123"/>
      <c r="D88" s="133"/>
      <c r="E88" s="68">
        <f>8*5.44+(8*16.17*3)+8*18.08</f>
        <v>576.24</v>
      </c>
    </row>
    <row r="89" spans="1:5" ht="12.75">
      <c r="A89" s="28" t="s">
        <v>249</v>
      </c>
      <c r="B89" s="29" t="s">
        <v>540</v>
      </c>
      <c r="C89" s="29"/>
      <c r="D89" s="21"/>
      <c r="E89" s="6"/>
    </row>
    <row r="90" spans="1:5" ht="12.75">
      <c r="A90" s="124" t="s">
        <v>252</v>
      </c>
      <c r="B90" s="125"/>
      <c r="C90" s="125"/>
      <c r="D90" s="30"/>
      <c r="E90" s="9">
        <v>550</v>
      </c>
    </row>
    <row r="91" spans="1:5" ht="12.75">
      <c r="A91" s="31" t="s">
        <v>253</v>
      </c>
      <c r="B91" s="126" t="s">
        <v>542</v>
      </c>
      <c r="C91" s="126"/>
      <c r="D91" s="30"/>
      <c r="E91" s="19">
        <f>0.81*A69*12</f>
        <v>2804.2200000000003</v>
      </c>
    </row>
    <row r="92" spans="1:5" ht="12.75">
      <c r="A92" s="32" t="s">
        <v>254</v>
      </c>
      <c r="B92" s="33"/>
      <c r="C92" s="34" t="s">
        <v>543</v>
      </c>
      <c r="D92" s="35"/>
      <c r="E92" s="19">
        <f>1.63*A69*12</f>
        <v>5643.0599999999995</v>
      </c>
    </row>
    <row r="93" spans="1:5" ht="12.75">
      <c r="A93" s="36" t="s">
        <v>255</v>
      </c>
      <c r="B93" s="37"/>
      <c r="C93" s="37" t="s">
        <v>233</v>
      </c>
      <c r="D93" s="38"/>
      <c r="E93" s="19">
        <f>0.003*A69*12</f>
        <v>10.386000000000001</v>
      </c>
    </row>
    <row r="94" spans="1:5" ht="12.75">
      <c r="A94" s="118" t="s">
        <v>256</v>
      </c>
      <c r="B94" s="119"/>
      <c r="C94" s="119"/>
      <c r="D94" s="30"/>
      <c r="E94" s="9">
        <f>E93+E92+E91+E90+E82+E76</f>
        <v>36817.08200000001</v>
      </c>
    </row>
    <row r="95" spans="1:5" ht="12.75">
      <c r="A95" s="120" t="s">
        <v>364</v>
      </c>
      <c r="B95" s="121"/>
      <c r="C95" s="121"/>
      <c r="D95" s="30"/>
      <c r="E95" s="20">
        <f>E94*0.06</f>
        <v>2209.0249200000003</v>
      </c>
    </row>
    <row r="96" spans="1:5" ht="12.75">
      <c r="A96" s="118" t="s">
        <v>247</v>
      </c>
      <c r="B96" s="119"/>
      <c r="C96" s="119"/>
      <c r="D96" s="30"/>
      <c r="E96" s="9">
        <f>SUM(E94:E95)</f>
        <v>39026.10692000001</v>
      </c>
    </row>
    <row r="97" spans="1:5" ht="12.75">
      <c r="A97" s="8" t="s">
        <v>248</v>
      </c>
      <c r="B97" s="39"/>
      <c r="C97" s="40"/>
      <c r="D97" s="9"/>
      <c r="E97" s="56">
        <f>E96/A69/12</f>
        <v>11.272705638359334</v>
      </c>
    </row>
  </sheetData>
  <sheetProtection/>
  <mergeCells count="45">
    <mergeCell ref="A85:C85"/>
    <mergeCell ref="A86:C86"/>
    <mergeCell ref="A87:C87"/>
    <mergeCell ref="A95:C95"/>
    <mergeCell ref="A96:C96"/>
    <mergeCell ref="A88:D88"/>
    <mergeCell ref="A90:C90"/>
    <mergeCell ref="B91:C91"/>
    <mergeCell ref="A94:C94"/>
    <mergeCell ref="A79:C79"/>
    <mergeCell ref="A80:C80"/>
    <mergeCell ref="A81:D81"/>
    <mergeCell ref="A82:C82"/>
    <mergeCell ref="A83:C83"/>
    <mergeCell ref="A84:C84"/>
    <mergeCell ref="A67:E67"/>
    <mergeCell ref="A71:A72"/>
    <mergeCell ref="C71:C72"/>
    <mergeCell ref="A75:C75"/>
    <mergeCell ref="A77:C77"/>
    <mergeCell ref="A78:C78"/>
    <mergeCell ref="A39:C39"/>
    <mergeCell ref="B33:C33"/>
    <mergeCell ref="A36:C36"/>
    <mergeCell ref="A37:C37"/>
    <mergeCell ref="A38:B38"/>
    <mergeCell ref="A60:E60"/>
    <mergeCell ref="A30:C30"/>
    <mergeCell ref="A32:C32"/>
    <mergeCell ref="A26:C26"/>
    <mergeCell ref="A27:C27"/>
    <mergeCell ref="A28:C28"/>
    <mergeCell ref="A29:C29"/>
    <mergeCell ref="A20:C20"/>
    <mergeCell ref="A21:C21"/>
    <mergeCell ref="A22:C22"/>
    <mergeCell ref="A23:D23"/>
    <mergeCell ref="A24:C24"/>
    <mergeCell ref="A25:C25"/>
    <mergeCell ref="A2:E2"/>
    <mergeCell ref="A9:E9"/>
    <mergeCell ref="A13:A14"/>
    <mergeCell ref="C13:C14"/>
    <mergeCell ref="A17:C17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G35" sqref="G35"/>
    </sheetView>
  </sheetViews>
  <sheetFormatPr defaultColWidth="9.00390625" defaultRowHeight="12.75"/>
  <cols>
    <col min="1" max="1" width="15.00390625" style="0" customWidth="1"/>
    <col min="2" max="2" width="18.125" style="0" customWidth="1"/>
    <col min="3" max="3" width="18.375" style="0" customWidth="1"/>
    <col min="4" max="4" width="18.125" style="0" customWidth="1"/>
    <col min="5" max="5" width="12.7539062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381</v>
      </c>
      <c r="D3" s="55"/>
    </row>
    <row r="6" spans="1:5" ht="21" customHeight="1">
      <c r="A6" s="134" t="s">
        <v>365</v>
      </c>
      <c r="B6" s="134"/>
      <c r="C6" s="134"/>
      <c r="D6" s="134"/>
      <c r="E6" s="134"/>
    </row>
    <row r="7" spans="1:5" ht="15.75">
      <c r="A7" s="2" t="s">
        <v>237</v>
      </c>
      <c r="B7" s="2"/>
      <c r="C7" s="1"/>
      <c r="D7" s="1"/>
      <c r="E7" s="1"/>
    </row>
    <row r="8" spans="1:5" ht="14.25">
      <c r="A8" s="3" t="s">
        <v>681</v>
      </c>
      <c r="B8" s="1"/>
      <c r="C8" s="1"/>
      <c r="D8" s="1"/>
      <c r="E8" s="1"/>
    </row>
    <row r="9" spans="1:5" ht="14.25">
      <c r="A9" s="3"/>
      <c r="B9" s="1"/>
      <c r="C9" s="1"/>
      <c r="D9" s="52"/>
      <c r="E9" s="1"/>
    </row>
    <row r="10" spans="1:5" ht="14.25">
      <c r="A10" s="3"/>
      <c r="B10" s="1"/>
      <c r="C10" s="1"/>
      <c r="D10" s="1"/>
      <c r="E10" s="1"/>
    </row>
    <row r="11" spans="1:5" ht="12.75" customHeight="1">
      <c r="A11" s="136" t="s">
        <v>240</v>
      </c>
      <c r="B11" s="196"/>
      <c r="C11" s="196"/>
      <c r="D11" s="196"/>
      <c r="E11" s="197"/>
    </row>
    <row r="12" spans="1:5" ht="12.75">
      <c r="A12" s="18" t="s">
        <v>241</v>
      </c>
      <c r="B12" s="18" t="s">
        <v>242</v>
      </c>
      <c r="C12" s="18" t="s">
        <v>243</v>
      </c>
      <c r="D12" s="18" t="s">
        <v>244</v>
      </c>
      <c r="E12" s="18" t="s">
        <v>239</v>
      </c>
    </row>
    <row r="13" spans="1:5" ht="14.25">
      <c r="A13" s="51">
        <v>4606.9</v>
      </c>
      <c r="B13" s="49">
        <v>398</v>
      </c>
      <c r="C13" s="49">
        <v>1660</v>
      </c>
      <c r="D13" s="49"/>
      <c r="E13" s="7">
        <v>1720</v>
      </c>
    </row>
    <row r="14" spans="1:5" ht="14.25">
      <c r="A14" s="3"/>
      <c r="B14" s="1"/>
      <c r="C14" s="1"/>
      <c r="D14" s="1"/>
      <c r="E14" s="1"/>
    </row>
    <row r="15" spans="1:5" ht="12.75" customHeight="1">
      <c r="A15" s="145" t="s">
        <v>245</v>
      </c>
      <c r="B15" s="50" t="s">
        <v>682</v>
      </c>
      <c r="C15" s="147" t="s">
        <v>683</v>
      </c>
      <c r="D15" s="22"/>
      <c r="E15" s="1"/>
    </row>
    <row r="16" spans="1:5" ht="12.75">
      <c r="A16" s="146"/>
      <c r="B16" s="50" t="s">
        <v>684</v>
      </c>
      <c r="C16" s="148"/>
      <c r="D16" s="1"/>
      <c r="E16" s="1"/>
    </row>
    <row r="17" spans="1:5" ht="14.25">
      <c r="A17" s="25"/>
      <c r="B17" s="66"/>
      <c r="C17" s="22"/>
      <c r="D17" s="1"/>
      <c r="E17" s="1"/>
    </row>
    <row r="18" spans="1:5" ht="12.75">
      <c r="A18" s="4"/>
      <c r="B18" s="1"/>
      <c r="C18" s="1"/>
      <c r="D18" s="1"/>
      <c r="E18" s="1"/>
    </row>
    <row r="19" spans="1:5" ht="12.75" customHeight="1">
      <c r="A19" s="139" t="s">
        <v>234</v>
      </c>
      <c r="B19" s="140"/>
      <c r="C19" s="140"/>
      <c r="D19" s="47"/>
      <c r="E19" s="48" t="s">
        <v>238</v>
      </c>
    </row>
    <row r="20" spans="1:5" ht="12.75">
      <c r="A20" s="41" t="s">
        <v>235</v>
      </c>
      <c r="B20" s="42"/>
      <c r="C20" s="42"/>
      <c r="D20" s="43"/>
      <c r="E20" s="24">
        <f>E22+E23+E24+E25</f>
        <v>92083.45919999998</v>
      </c>
    </row>
    <row r="21" spans="1:5" ht="12.75" customHeight="1">
      <c r="A21" s="141" t="s">
        <v>246</v>
      </c>
      <c r="B21" s="142"/>
      <c r="C21" s="142"/>
      <c r="D21" s="46"/>
      <c r="E21" s="21"/>
    </row>
    <row r="22" spans="1:5" ht="12.75" customHeight="1">
      <c r="A22" s="122" t="s">
        <v>685</v>
      </c>
      <c r="B22" s="123"/>
      <c r="C22" s="123"/>
      <c r="D22" s="44"/>
      <c r="E22" s="45">
        <f>0.596*5800*1.75*1.203*12</f>
        <v>87329.1384</v>
      </c>
    </row>
    <row r="23" spans="1:5" ht="12.75" customHeight="1">
      <c r="A23" s="122" t="s">
        <v>689</v>
      </c>
      <c r="B23" s="123"/>
      <c r="C23" s="123"/>
      <c r="D23" s="21"/>
      <c r="E23" s="26">
        <f>0.012*A13*12</f>
        <v>663.3935999999999</v>
      </c>
    </row>
    <row r="24" spans="1:5" ht="12.75" customHeight="1">
      <c r="A24" s="122" t="s">
        <v>690</v>
      </c>
      <c r="B24" s="123"/>
      <c r="C24" s="123"/>
      <c r="D24" s="21"/>
      <c r="E24" s="26">
        <f>0.014*A13*12</f>
        <v>773.9592</v>
      </c>
    </row>
    <row r="25" spans="1:5" ht="12.75" customHeight="1">
      <c r="A25" s="122" t="s">
        <v>691</v>
      </c>
      <c r="B25" s="123"/>
      <c r="C25" s="123"/>
      <c r="D25" s="190"/>
      <c r="E25" s="27">
        <f>0.06*A13*12</f>
        <v>3316.968</v>
      </c>
    </row>
    <row r="26" spans="1:5" ht="12.75" customHeight="1">
      <c r="A26" s="129" t="s">
        <v>236</v>
      </c>
      <c r="B26" s="130"/>
      <c r="C26" s="130"/>
      <c r="D26" s="21"/>
      <c r="E26" s="19">
        <f>E27+E28+E29+E30+E32+E34+E31+E33</f>
        <v>86163.6376</v>
      </c>
    </row>
    <row r="27" spans="1:5" ht="12.75" customHeight="1">
      <c r="A27" s="122" t="s">
        <v>686</v>
      </c>
      <c r="B27" s="123"/>
      <c r="C27" s="123"/>
      <c r="D27" s="21"/>
      <c r="E27" s="26">
        <f>220*1.5*101.01</f>
        <v>33333.3</v>
      </c>
    </row>
    <row r="28" spans="1:5" ht="12.75" customHeight="1">
      <c r="A28" s="122" t="s">
        <v>692</v>
      </c>
      <c r="B28" s="123"/>
      <c r="C28" s="123"/>
      <c r="D28" s="21"/>
      <c r="E28" s="26">
        <f>220*1.5*35.02</f>
        <v>11556.6</v>
      </c>
    </row>
    <row r="29" spans="1:5" ht="12.75" customHeight="1">
      <c r="A29" s="122" t="s">
        <v>693</v>
      </c>
      <c r="B29" s="123"/>
      <c r="C29" s="123"/>
      <c r="D29" s="21"/>
      <c r="E29" s="27">
        <f>7800*2.73</f>
        <v>21294</v>
      </c>
    </row>
    <row r="30" spans="1:5" ht="12.75" customHeight="1">
      <c r="A30" s="122" t="s">
        <v>687</v>
      </c>
      <c r="B30" s="123"/>
      <c r="C30" s="123"/>
      <c r="D30" s="21"/>
      <c r="E30" s="26">
        <f>0.002*A13*12</f>
        <v>110.56559999999999</v>
      </c>
    </row>
    <row r="31" spans="1:5" ht="12.75" customHeight="1">
      <c r="A31" s="122" t="s">
        <v>694</v>
      </c>
      <c r="B31" s="123"/>
      <c r="C31" s="123"/>
      <c r="D31" s="21"/>
      <c r="E31" s="26">
        <f>1.44*1164</f>
        <v>1676.1599999999999</v>
      </c>
    </row>
    <row r="32" spans="1:5" ht="12.75" customHeight="1">
      <c r="A32" s="122" t="s">
        <v>695</v>
      </c>
      <c r="B32" s="123"/>
      <c r="C32" s="123"/>
      <c r="D32" s="21"/>
      <c r="E32" s="26">
        <f>0.29*A13*12</f>
        <v>16032.011999999997</v>
      </c>
    </row>
    <row r="33" spans="1:5" ht="12.75" customHeight="1">
      <c r="A33" s="122" t="s">
        <v>363</v>
      </c>
      <c r="B33" s="123"/>
      <c r="C33" s="123"/>
      <c r="D33" s="21"/>
      <c r="E33" s="26">
        <f>100*5.44+100*16.17</f>
        <v>2161</v>
      </c>
    </row>
    <row r="34" spans="1:5" ht="12.75" customHeight="1">
      <c r="A34" s="28" t="s">
        <v>269</v>
      </c>
      <c r="B34" s="29"/>
      <c r="C34" s="29"/>
      <c r="D34" s="21"/>
      <c r="E34" s="6"/>
    </row>
    <row r="35" spans="1:5" ht="12.75" customHeight="1">
      <c r="A35" s="194" t="s">
        <v>252</v>
      </c>
      <c r="B35" s="195"/>
      <c r="C35" s="195"/>
      <c r="D35" s="30"/>
      <c r="E35" s="9">
        <v>229901</v>
      </c>
    </row>
    <row r="36" spans="1:5" ht="12.75" customHeight="1">
      <c r="A36" s="53" t="s">
        <v>265</v>
      </c>
      <c r="B36" s="54"/>
      <c r="C36" s="54" t="s">
        <v>696</v>
      </c>
      <c r="D36" s="30"/>
      <c r="E36" s="19">
        <f>0.81*A13*12</f>
        <v>44779.068</v>
      </c>
    </row>
    <row r="37" spans="1:5" ht="12.75" customHeight="1">
      <c r="A37" s="180" t="s">
        <v>697</v>
      </c>
      <c r="B37" s="191"/>
      <c r="C37" s="191"/>
      <c r="D37" s="30"/>
      <c r="E37" s="19">
        <f>1.63*A13*12</f>
        <v>90110.96399999998</v>
      </c>
    </row>
    <row r="38" spans="1:5" ht="12.75" customHeight="1">
      <c r="A38" s="36" t="s">
        <v>215</v>
      </c>
      <c r="B38" s="37"/>
      <c r="C38" s="37" t="s">
        <v>688</v>
      </c>
      <c r="D38" s="38"/>
      <c r="E38" s="9">
        <f>0.003*A13*12</f>
        <v>165.84839999999997</v>
      </c>
    </row>
    <row r="39" spans="1:5" ht="12.75" customHeight="1">
      <c r="A39" s="192" t="s">
        <v>335</v>
      </c>
      <c r="B39" s="193"/>
      <c r="C39" s="193"/>
      <c r="D39" s="30"/>
      <c r="E39" s="9">
        <f>E38+E37+E36+E35+E26+E20</f>
        <v>543203.9772</v>
      </c>
    </row>
    <row r="40" spans="1:5" ht="12.75" customHeight="1">
      <c r="A40" s="120" t="s">
        <v>430</v>
      </c>
      <c r="B40" s="121"/>
      <c r="C40" s="121"/>
      <c r="D40" s="30"/>
      <c r="E40" s="20">
        <f>E39*0.06</f>
        <v>32592.238631999997</v>
      </c>
    </row>
    <row r="41" spans="1:5" ht="12.75" customHeight="1">
      <c r="A41" s="127" t="s">
        <v>155</v>
      </c>
      <c r="B41" s="128"/>
      <c r="C41" s="114"/>
      <c r="D41" s="30"/>
      <c r="E41" s="20">
        <f>(E39+E40)*0.01</f>
        <v>5757.9621583200005</v>
      </c>
    </row>
    <row r="42" spans="1:5" ht="12.75" customHeight="1">
      <c r="A42" s="192" t="s">
        <v>257</v>
      </c>
      <c r="B42" s="193"/>
      <c r="C42" s="193"/>
      <c r="D42" s="30"/>
      <c r="E42" s="9">
        <f>SUM(E39:E41)</f>
        <v>581554.17799032</v>
      </c>
    </row>
    <row r="43" spans="1:5" ht="12.75">
      <c r="A43" s="8" t="s">
        <v>248</v>
      </c>
      <c r="B43" s="39"/>
      <c r="C43" s="40"/>
      <c r="D43" s="9" t="s">
        <v>237</v>
      </c>
      <c r="E43" s="113">
        <f>E42/A13/12</f>
        <v>10.519622341674447</v>
      </c>
    </row>
    <row r="44" spans="1:5" ht="12.75" customHeight="1">
      <c r="A44" s="11"/>
      <c r="B44" s="12"/>
      <c r="C44" s="13"/>
      <c r="D44" s="13"/>
      <c r="E44" s="1"/>
    </row>
  </sheetData>
  <sheetProtection/>
  <mergeCells count="24">
    <mergeCell ref="A19:C19"/>
    <mergeCell ref="A21:C21"/>
    <mergeCell ref="A22:C22"/>
    <mergeCell ref="A23:C23"/>
    <mergeCell ref="A6:E6"/>
    <mergeCell ref="A11:E11"/>
    <mergeCell ref="A15:A16"/>
    <mergeCell ref="C15:C16"/>
    <mergeCell ref="A28:C28"/>
    <mergeCell ref="A29:C29"/>
    <mergeCell ref="A30:C30"/>
    <mergeCell ref="A31:C31"/>
    <mergeCell ref="A24:C24"/>
    <mergeCell ref="A25:D25"/>
    <mergeCell ref="A26:C26"/>
    <mergeCell ref="A27:C27"/>
    <mergeCell ref="A39:C39"/>
    <mergeCell ref="A40:C40"/>
    <mergeCell ref="A41:B41"/>
    <mergeCell ref="A42:C42"/>
    <mergeCell ref="A32:C32"/>
    <mergeCell ref="A33:C33"/>
    <mergeCell ref="A35:C35"/>
    <mergeCell ref="A37: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14.375" style="0" customWidth="1"/>
    <col min="2" max="2" width="18.125" style="0" customWidth="1"/>
    <col min="3" max="3" width="18.375" style="0" customWidth="1"/>
    <col min="4" max="4" width="18.75390625" style="0" customWidth="1"/>
    <col min="5" max="5" width="12.7539062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381</v>
      </c>
      <c r="D3" s="55"/>
    </row>
    <row r="6" spans="1:5" ht="21" customHeight="1">
      <c r="A6" s="134" t="s">
        <v>365</v>
      </c>
      <c r="B6" s="135"/>
      <c r="C6" s="135"/>
      <c r="D6" s="135"/>
      <c r="E6" s="135"/>
    </row>
    <row r="7" spans="1:5" ht="15.75">
      <c r="A7" s="2" t="s">
        <v>237</v>
      </c>
      <c r="B7" s="2"/>
      <c r="C7" s="1"/>
      <c r="D7" s="1"/>
      <c r="E7" s="1"/>
    </row>
    <row r="8" spans="1:5" ht="14.25">
      <c r="A8" s="3" t="s">
        <v>524</v>
      </c>
      <c r="B8" s="1"/>
      <c r="C8" s="1"/>
      <c r="D8" s="1"/>
      <c r="E8" s="1"/>
    </row>
    <row r="9" spans="1:5" ht="14.25">
      <c r="A9" s="3"/>
      <c r="B9" s="1"/>
      <c r="C9" s="1"/>
      <c r="D9" s="52"/>
      <c r="E9" s="1"/>
    </row>
    <row r="10" spans="1:5" ht="14.25">
      <c r="A10" s="3"/>
      <c r="B10" s="1"/>
      <c r="C10" s="1"/>
      <c r="D10" s="1"/>
      <c r="E10" s="1"/>
    </row>
    <row r="11" spans="1:5" ht="12.75">
      <c r="A11" s="136" t="s">
        <v>240</v>
      </c>
      <c r="B11" s="137"/>
      <c r="C11" s="137"/>
      <c r="D11" s="137"/>
      <c r="E11" s="138"/>
    </row>
    <row r="12" spans="1:5" ht="12.75">
      <c r="A12" s="18" t="s">
        <v>241</v>
      </c>
      <c r="B12" s="18" t="s">
        <v>242</v>
      </c>
      <c r="C12" s="18" t="s">
        <v>243</v>
      </c>
      <c r="D12" s="18" t="s">
        <v>244</v>
      </c>
      <c r="E12" s="18" t="s">
        <v>239</v>
      </c>
    </row>
    <row r="13" spans="1:5" ht="14.25">
      <c r="A13" s="51">
        <v>3229.7</v>
      </c>
      <c r="B13" s="49">
        <v>245.5</v>
      </c>
      <c r="C13" s="49">
        <v>619</v>
      </c>
      <c r="D13" s="49"/>
      <c r="E13" s="7">
        <v>4082.9</v>
      </c>
    </row>
    <row r="14" spans="1:5" ht="14.25">
      <c r="A14" s="3"/>
      <c r="B14" s="1"/>
      <c r="C14" s="1"/>
      <c r="D14" s="1"/>
      <c r="E14" s="1"/>
    </row>
    <row r="15" spans="1:5" ht="12.75">
      <c r="A15" s="145" t="s">
        <v>245</v>
      </c>
      <c r="B15" s="50" t="s">
        <v>525</v>
      </c>
      <c r="C15" s="147" t="s">
        <v>526</v>
      </c>
      <c r="D15" s="22"/>
      <c r="E15" s="1"/>
    </row>
    <row r="16" spans="1:5" ht="12.75">
      <c r="A16" s="151"/>
      <c r="B16" s="50" t="s">
        <v>527</v>
      </c>
      <c r="C16" s="151"/>
      <c r="D16" s="1"/>
      <c r="E16" s="1"/>
    </row>
    <row r="17" spans="1:5" ht="12.75">
      <c r="A17" s="69"/>
      <c r="B17" s="66"/>
      <c r="C17" s="69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39" t="s">
        <v>234</v>
      </c>
      <c r="B19" s="140"/>
      <c r="C19" s="140"/>
      <c r="D19" s="47"/>
      <c r="E19" s="48" t="s">
        <v>238</v>
      </c>
    </row>
    <row r="20" spans="1:5" ht="12.75">
      <c r="A20" s="41" t="s">
        <v>235</v>
      </c>
      <c r="B20" s="42"/>
      <c r="C20" s="42"/>
      <c r="D20" s="43"/>
      <c r="E20" s="24">
        <f>E22+E23+E24+E25</f>
        <v>59598.80400000001</v>
      </c>
    </row>
    <row r="21" spans="1:5" ht="12.75">
      <c r="A21" s="141" t="s">
        <v>246</v>
      </c>
      <c r="B21" s="142"/>
      <c r="C21" s="142"/>
      <c r="D21" s="46"/>
      <c r="E21" s="21"/>
    </row>
    <row r="22" spans="1:5" ht="12.75">
      <c r="A22" s="131" t="s">
        <v>531</v>
      </c>
      <c r="B22" s="132"/>
      <c r="C22" s="132"/>
      <c r="D22" s="44"/>
      <c r="E22" s="45">
        <f>0.336*5800*2*1.203*12</f>
        <v>56265.75360000001</v>
      </c>
    </row>
    <row r="23" spans="1:5" ht="12.75">
      <c r="A23" s="122" t="s">
        <v>84</v>
      </c>
      <c r="B23" s="123"/>
      <c r="C23" s="123"/>
      <c r="D23" s="21"/>
      <c r="E23" s="26">
        <f>0.012*A13*12</f>
        <v>465.0768</v>
      </c>
    </row>
    <row r="24" spans="1:5" ht="12.75">
      <c r="A24" s="122" t="s">
        <v>532</v>
      </c>
      <c r="B24" s="123"/>
      <c r="C24" s="123"/>
      <c r="D24" s="21"/>
      <c r="E24" s="26">
        <f>0.014*A13*12</f>
        <v>542.5896</v>
      </c>
    </row>
    <row r="25" spans="1:5" ht="12.75">
      <c r="A25" s="122" t="s">
        <v>85</v>
      </c>
      <c r="B25" s="123"/>
      <c r="C25" s="123"/>
      <c r="D25" s="133"/>
      <c r="E25" s="27">
        <f>0.06*A13*12</f>
        <v>2325.384</v>
      </c>
    </row>
    <row r="26" spans="1:5" ht="12.75">
      <c r="A26" s="129" t="s">
        <v>236</v>
      </c>
      <c r="B26" s="130"/>
      <c r="C26" s="130"/>
      <c r="D26" s="21"/>
      <c r="E26" s="19">
        <f>E27+E28+E29+E30+E31+E33+E32</f>
        <v>80401.5338</v>
      </c>
    </row>
    <row r="27" spans="1:5" ht="12.75">
      <c r="A27" s="122" t="s">
        <v>533</v>
      </c>
      <c r="B27" s="123"/>
      <c r="C27" s="123"/>
      <c r="D27" s="21"/>
      <c r="E27" s="26">
        <f>157*1.5*101.01</f>
        <v>23787.855</v>
      </c>
    </row>
    <row r="28" spans="1:5" ht="12.75">
      <c r="A28" s="122" t="s">
        <v>86</v>
      </c>
      <c r="B28" s="123"/>
      <c r="C28" s="123"/>
      <c r="D28" s="21"/>
      <c r="E28" s="26">
        <f>157*1.5*35.02</f>
        <v>8247.210000000001</v>
      </c>
    </row>
    <row r="29" spans="1:5" ht="12.75">
      <c r="A29" s="122" t="s">
        <v>87</v>
      </c>
      <c r="B29" s="123"/>
      <c r="C29" s="123"/>
      <c r="D29" s="21"/>
      <c r="E29" s="27">
        <f>8000*2.73</f>
        <v>21840</v>
      </c>
    </row>
    <row r="30" spans="1:5" ht="12.75">
      <c r="A30" s="122" t="s">
        <v>528</v>
      </c>
      <c r="B30" s="123"/>
      <c r="C30" s="123"/>
      <c r="D30" s="21"/>
      <c r="E30" s="26">
        <f>0.002*A13*12</f>
        <v>77.5128</v>
      </c>
    </row>
    <row r="31" spans="1:5" ht="12.75">
      <c r="A31" s="122" t="s">
        <v>529</v>
      </c>
      <c r="B31" s="123"/>
      <c r="C31" s="123"/>
      <c r="D31" s="21"/>
      <c r="E31" s="26">
        <f>0.29*A13*12</f>
        <v>11239.355999999998</v>
      </c>
    </row>
    <row r="32" spans="1:5" ht="12.75" customHeight="1">
      <c r="A32" s="122" t="s">
        <v>88</v>
      </c>
      <c r="B32" s="123"/>
      <c r="C32" s="123"/>
      <c r="D32" s="21"/>
      <c r="E32" s="26">
        <f>80*5.44+80*16.17*4</f>
        <v>5609.6</v>
      </c>
    </row>
    <row r="33" spans="1:5" ht="12.75">
      <c r="A33" s="28" t="s">
        <v>249</v>
      </c>
      <c r="B33" s="29" t="s">
        <v>66</v>
      </c>
      <c r="C33" s="29"/>
      <c r="D33" s="21"/>
      <c r="E33" s="6">
        <f>80*120</f>
        <v>9600</v>
      </c>
    </row>
    <row r="34" spans="1:5" ht="12.75">
      <c r="A34" s="124" t="s">
        <v>252</v>
      </c>
      <c r="B34" s="125"/>
      <c r="C34" s="125"/>
      <c r="D34" s="30"/>
      <c r="E34" s="9">
        <v>146150</v>
      </c>
    </row>
    <row r="35" spans="1:5" ht="12.75">
      <c r="A35" s="53" t="s">
        <v>265</v>
      </c>
      <c r="B35" s="54"/>
      <c r="C35" s="54" t="s">
        <v>89</v>
      </c>
      <c r="D35" s="30"/>
      <c r="E35" s="19">
        <f>0.81*A13*12</f>
        <v>31392.684</v>
      </c>
    </row>
    <row r="36" spans="1:5" ht="12.75">
      <c r="A36" s="143" t="s">
        <v>90</v>
      </c>
      <c r="B36" s="144"/>
      <c r="C36" s="144"/>
      <c r="D36" s="30"/>
      <c r="E36" s="19">
        <f>1.63*A13*12</f>
        <v>63172.931999999986</v>
      </c>
    </row>
    <row r="37" spans="1:5" ht="12.75">
      <c r="A37" s="36" t="s">
        <v>215</v>
      </c>
      <c r="B37" s="37"/>
      <c r="C37" s="37" t="s">
        <v>530</v>
      </c>
      <c r="D37" s="38"/>
      <c r="E37" s="9">
        <f>0.003*A13*12</f>
        <v>116.2692</v>
      </c>
    </row>
    <row r="38" spans="1:5" ht="12.75">
      <c r="A38" s="118" t="s">
        <v>335</v>
      </c>
      <c r="B38" s="119"/>
      <c r="C38" s="119"/>
      <c r="D38" s="30"/>
      <c r="E38" s="9">
        <f>E37+E36+E35+E34+E26+E20</f>
        <v>380832.223</v>
      </c>
    </row>
    <row r="39" spans="1:5" ht="12.75" customHeight="1">
      <c r="A39" s="120" t="s">
        <v>430</v>
      </c>
      <c r="B39" s="121"/>
      <c r="C39" s="121"/>
      <c r="D39" s="30"/>
      <c r="E39" s="20">
        <f>E38*0.06</f>
        <v>22849.93338</v>
      </c>
    </row>
    <row r="40" spans="1:5" ht="12.75" customHeight="1">
      <c r="A40" s="127" t="s">
        <v>544</v>
      </c>
      <c r="B40" s="128"/>
      <c r="C40" s="117"/>
      <c r="D40" s="112"/>
      <c r="E40" s="20">
        <f>(E38+E39)*0.01</f>
        <v>4036.8215638</v>
      </c>
    </row>
    <row r="41" spans="1:5" ht="12.75">
      <c r="A41" s="118" t="s">
        <v>257</v>
      </c>
      <c r="B41" s="119"/>
      <c r="C41" s="119"/>
      <c r="D41" s="30"/>
      <c r="E41" s="9">
        <f>SUM(E38:E40)</f>
        <v>407718.9779438</v>
      </c>
    </row>
    <row r="42" spans="1:5" ht="12.75">
      <c r="A42" s="8" t="s">
        <v>248</v>
      </c>
      <c r="B42" s="39"/>
      <c r="C42" s="40"/>
      <c r="D42" s="9" t="s">
        <v>237</v>
      </c>
      <c r="E42" s="113">
        <f>E41/A13/12</f>
        <v>10.520042572163566</v>
      </c>
    </row>
    <row r="43" spans="1:5" ht="12.75">
      <c r="A43" s="11"/>
      <c r="B43" s="12"/>
      <c r="C43" s="13"/>
      <c r="D43" s="13"/>
      <c r="E43" s="1"/>
    </row>
  </sheetData>
  <sheetProtection/>
  <mergeCells count="23">
    <mergeCell ref="A40:B40"/>
    <mergeCell ref="A28:C28"/>
    <mergeCell ref="A29:C29"/>
    <mergeCell ref="A30:C30"/>
    <mergeCell ref="A31:C31"/>
    <mergeCell ref="A39:C39"/>
    <mergeCell ref="A41:C41"/>
    <mergeCell ref="A32:C32"/>
    <mergeCell ref="A34:C34"/>
    <mergeCell ref="A36:C36"/>
    <mergeCell ref="A38:C38"/>
    <mergeCell ref="A22:C22"/>
    <mergeCell ref="A23:C23"/>
    <mergeCell ref="A24:C24"/>
    <mergeCell ref="A25:D25"/>
    <mergeCell ref="A26:C26"/>
    <mergeCell ref="A27:C27"/>
    <mergeCell ref="A6:E6"/>
    <mergeCell ref="A11:E11"/>
    <mergeCell ref="A15:A16"/>
    <mergeCell ref="C15:C16"/>
    <mergeCell ref="A19:C19"/>
    <mergeCell ref="A21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G35" sqref="G35"/>
    </sheetView>
  </sheetViews>
  <sheetFormatPr defaultColWidth="9.00390625" defaultRowHeight="12.75"/>
  <cols>
    <col min="1" max="1" width="16.25390625" style="0" customWidth="1"/>
    <col min="2" max="2" width="19.125" style="0" customWidth="1"/>
    <col min="3" max="3" width="16.25390625" style="0" customWidth="1"/>
    <col min="4" max="4" width="13.375" style="0" customWidth="1"/>
    <col min="5" max="5" width="14.2539062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381</v>
      </c>
      <c r="D3" s="55"/>
    </row>
    <row r="6" spans="1:5" ht="18.75" customHeight="1">
      <c r="A6" s="134" t="s">
        <v>365</v>
      </c>
      <c r="B6" s="135"/>
      <c r="C6" s="135"/>
      <c r="D6" s="135"/>
      <c r="E6" s="135"/>
    </row>
    <row r="7" spans="1:5" ht="15.75">
      <c r="A7" s="2" t="s">
        <v>237</v>
      </c>
      <c r="B7" s="2"/>
      <c r="C7" s="1"/>
      <c r="D7" s="1"/>
      <c r="E7" s="1"/>
    </row>
    <row r="8" spans="1:5" ht="14.25">
      <c r="A8" s="3" t="s">
        <v>698</v>
      </c>
      <c r="B8" s="1"/>
      <c r="C8" s="1"/>
      <c r="D8" s="1"/>
      <c r="E8" s="1"/>
    </row>
    <row r="9" spans="1:5" ht="14.25">
      <c r="A9" s="3"/>
      <c r="B9" s="1"/>
      <c r="C9" s="1"/>
      <c r="D9" s="52"/>
      <c r="E9" s="1"/>
    </row>
    <row r="10" spans="1:5" ht="14.25">
      <c r="A10" s="3"/>
      <c r="B10" s="1"/>
      <c r="C10" s="1"/>
      <c r="D10" s="1"/>
      <c r="E10" s="1"/>
    </row>
    <row r="11" spans="1:5" ht="12.75">
      <c r="A11" s="136" t="s">
        <v>240</v>
      </c>
      <c r="B11" s="137"/>
      <c r="C11" s="137"/>
      <c r="D11" s="137"/>
      <c r="E11" s="138"/>
    </row>
    <row r="12" spans="1:5" ht="12.75">
      <c r="A12" s="18" t="s">
        <v>241</v>
      </c>
      <c r="B12" s="18" t="s">
        <v>242</v>
      </c>
      <c r="C12" s="18" t="s">
        <v>243</v>
      </c>
      <c r="D12" s="18" t="s">
        <v>244</v>
      </c>
      <c r="E12" s="18" t="s">
        <v>239</v>
      </c>
    </row>
    <row r="13" spans="1:5" ht="14.25">
      <c r="A13" s="51">
        <v>1994.7</v>
      </c>
      <c r="B13" s="49">
        <v>169.1</v>
      </c>
      <c r="C13" s="49">
        <v>761.9</v>
      </c>
      <c r="D13" s="49"/>
      <c r="E13" s="7">
        <v>1094</v>
      </c>
    </row>
    <row r="14" spans="1:5" ht="14.25">
      <c r="A14" s="3"/>
      <c r="B14" s="1"/>
      <c r="C14" s="1"/>
      <c r="D14" s="1"/>
      <c r="E14" s="1"/>
    </row>
    <row r="15" spans="1:5" ht="12.75">
      <c r="A15" s="145" t="s">
        <v>245</v>
      </c>
      <c r="B15" s="50" t="s">
        <v>699</v>
      </c>
      <c r="C15" s="147" t="s">
        <v>700</v>
      </c>
      <c r="D15" s="22"/>
      <c r="E15" s="1"/>
    </row>
    <row r="16" spans="1:5" ht="12.75">
      <c r="A16" s="151"/>
      <c r="B16" s="50" t="s">
        <v>701</v>
      </c>
      <c r="C16" s="151"/>
      <c r="D16" s="1"/>
      <c r="E16" s="1"/>
    </row>
    <row r="17" spans="1:5" ht="12.75">
      <c r="A17" s="69"/>
      <c r="B17" s="66"/>
      <c r="C17" s="69"/>
      <c r="D17" s="1"/>
      <c r="E17" s="1"/>
    </row>
    <row r="18" spans="1:5" ht="12.75">
      <c r="A18" s="4"/>
      <c r="B18" s="1"/>
      <c r="C18" s="1"/>
      <c r="D18" s="1"/>
      <c r="E18" s="1"/>
    </row>
    <row r="19" spans="1:5" ht="12.75">
      <c r="A19" s="139" t="s">
        <v>234</v>
      </c>
      <c r="B19" s="140"/>
      <c r="C19" s="140"/>
      <c r="D19" s="47"/>
      <c r="E19" s="48" t="s">
        <v>238</v>
      </c>
    </row>
    <row r="20" spans="1:5" ht="12.75">
      <c r="A20" s="41" t="s">
        <v>235</v>
      </c>
      <c r="B20" s="42"/>
      <c r="C20" s="42"/>
      <c r="D20" s="43"/>
      <c r="E20" s="24">
        <f>E22+E23+E24+E25</f>
        <v>45354.018599999996</v>
      </c>
    </row>
    <row r="21" spans="1:5" ht="12.75">
      <c r="A21" s="141" t="s">
        <v>246</v>
      </c>
      <c r="B21" s="142"/>
      <c r="C21" s="142"/>
      <c r="D21" s="46"/>
      <c r="E21" s="21"/>
    </row>
    <row r="22" spans="1:5" ht="12.75">
      <c r="A22" s="131" t="s">
        <v>702</v>
      </c>
      <c r="B22" s="132"/>
      <c r="C22" s="132"/>
      <c r="D22" s="44"/>
      <c r="E22" s="45">
        <f>0.283*5800*1.75*1.263*12</f>
        <v>43534.852199999994</v>
      </c>
    </row>
    <row r="23" spans="1:5" ht="12.75">
      <c r="A23" s="122" t="s">
        <v>707</v>
      </c>
      <c r="B23" s="123"/>
      <c r="C23" s="123"/>
      <c r="D23" s="21"/>
      <c r="E23" s="26">
        <f>0.012*A13*12</f>
        <v>287.2368</v>
      </c>
    </row>
    <row r="24" spans="1:5" ht="12.75">
      <c r="A24" s="122" t="s">
        <v>708</v>
      </c>
      <c r="B24" s="123"/>
      <c r="C24" s="123"/>
      <c r="D24" s="21"/>
      <c r="E24" s="26">
        <f>0.004*A13*12</f>
        <v>95.74560000000001</v>
      </c>
    </row>
    <row r="25" spans="1:5" ht="12.75">
      <c r="A25" s="122" t="s">
        <v>709</v>
      </c>
      <c r="B25" s="123"/>
      <c r="C25" s="123"/>
      <c r="D25" s="133"/>
      <c r="E25" s="27">
        <f>0.06*A13*12</f>
        <v>1436.184</v>
      </c>
    </row>
    <row r="26" spans="1:5" ht="12.75">
      <c r="A26" s="129" t="s">
        <v>236</v>
      </c>
      <c r="B26" s="130"/>
      <c r="C26" s="130"/>
      <c r="D26" s="21"/>
      <c r="E26" s="19">
        <f>E27+E28+E29+E30+E32+E34+E33+E31</f>
        <v>41499.565800000004</v>
      </c>
    </row>
    <row r="27" spans="1:5" ht="12.75">
      <c r="A27" s="122" t="s">
        <v>703</v>
      </c>
      <c r="B27" s="123"/>
      <c r="C27" s="123"/>
      <c r="D27" s="21"/>
      <c r="E27" s="26">
        <f>89*1.5*101.01</f>
        <v>13484.835000000001</v>
      </c>
    </row>
    <row r="28" spans="1:5" ht="12.75">
      <c r="A28" s="122" t="s">
        <v>710</v>
      </c>
      <c r="B28" s="123"/>
      <c r="C28" s="123"/>
      <c r="D28" s="21"/>
      <c r="E28" s="26">
        <f>1.5*89*35.02</f>
        <v>4675.17</v>
      </c>
    </row>
    <row r="29" spans="1:5" ht="12.75">
      <c r="A29" s="122" t="s">
        <v>711</v>
      </c>
      <c r="B29" s="123"/>
      <c r="C29" s="123"/>
      <c r="D29" s="21"/>
      <c r="E29" s="27">
        <f>3400*2.73</f>
        <v>9282</v>
      </c>
    </row>
    <row r="30" spans="1:5" ht="12.75">
      <c r="A30" s="122" t="s">
        <v>704</v>
      </c>
      <c r="B30" s="123"/>
      <c r="C30" s="123"/>
      <c r="D30" s="21"/>
      <c r="E30" s="26">
        <f>0.002*A13*12</f>
        <v>47.872800000000005</v>
      </c>
    </row>
    <row r="31" spans="1:5" ht="12.75">
      <c r="A31" s="122" t="s">
        <v>712</v>
      </c>
      <c r="B31" s="123"/>
      <c r="C31" s="123"/>
      <c r="D31" s="21"/>
      <c r="E31" s="26">
        <f>1.44*845</f>
        <v>1216.8</v>
      </c>
    </row>
    <row r="32" spans="1:5" ht="12.75">
      <c r="A32" s="122" t="s">
        <v>713</v>
      </c>
      <c r="B32" s="123"/>
      <c r="C32" s="123"/>
      <c r="D32" s="21"/>
      <c r="E32" s="26">
        <f>0.32*A13*12</f>
        <v>7659.647999999999</v>
      </c>
    </row>
    <row r="33" spans="1:5" ht="12.75">
      <c r="A33" s="122" t="s">
        <v>705</v>
      </c>
      <c r="B33" s="123"/>
      <c r="C33" s="123"/>
      <c r="D33" s="21"/>
      <c r="E33" s="26">
        <f>27*5.44+27*16.17*4</f>
        <v>1893.2400000000002</v>
      </c>
    </row>
    <row r="34" spans="1:5" ht="12.75">
      <c r="A34" s="28" t="s">
        <v>249</v>
      </c>
      <c r="B34" s="29" t="s">
        <v>714</v>
      </c>
      <c r="C34" s="29"/>
      <c r="D34" s="21"/>
      <c r="E34" s="6">
        <f>27*120</f>
        <v>3240</v>
      </c>
    </row>
    <row r="35" spans="1:5" ht="12.75">
      <c r="A35" s="124" t="s">
        <v>252</v>
      </c>
      <c r="B35" s="125"/>
      <c r="C35" s="125"/>
      <c r="D35" s="30"/>
      <c r="E35" s="9">
        <v>89880</v>
      </c>
    </row>
    <row r="36" spans="1:5" ht="12.75">
      <c r="A36" s="53" t="s">
        <v>265</v>
      </c>
      <c r="B36" s="54"/>
      <c r="C36" s="54" t="s">
        <v>715</v>
      </c>
      <c r="D36" s="30"/>
      <c r="E36" s="19">
        <f>0.81*A13*12</f>
        <v>19388.484</v>
      </c>
    </row>
    <row r="37" spans="1:5" ht="12.75">
      <c r="A37" s="143" t="s">
        <v>716</v>
      </c>
      <c r="B37" s="144"/>
      <c r="C37" s="144"/>
      <c r="D37" s="30"/>
      <c r="E37" s="19">
        <f>1.63*A13*12</f>
        <v>39016.331999999995</v>
      </c>
    </row>
    <row r="38" spans="1:5" ht="12.75">
      <c r="A38" s="36" t="s">
        <v>215</v>
      </c>
      <c r="B38" s="37"/>
      <c r="C38" s="37" t="s">
        <v>706</v>
      </c>
      <c r="D38" s="38"/>
      <c r="E38" s="9">
        <f>0.003*A13*12</f>
        <v>71.8092</v>
      </c>
    </row>
    <row r="39" spans="1:5" ht="12.75">
      <c r="A39" s="118" t="s">
        <v>335</v>
      </c>
      <c r="B39" s="119"/>
      <c r="C39" s="119"/>
      <c r="D39" s="30"/>
      <c r="E39" s="9">
        <f>E38+E37+E36+E35+E26+E20</f>
        <v>235210.2096</v>
      </c>
    </row>
    <row r="40" spans="1:5" ht="12.75">
      <c r="A40" s="120" t="s">
        <v>430</v>
      </c>
      <c r="B40" s="121"/>
      <c r="C40" s="121"/>
      <c r="D40" s="30"/>
      <c r="E40" s="20">
        <f>E39*0.06</f>
        <v>14112.612576</v>
      </c>
    </row>
    <row r="41" spans="1:5" ht="12.75">
      <c r="A41" s="127" t="s">
        <v>155</v>
      </c>
      <c r="B41" s="128"/>
      <c r="C41" s="114"/>
      <c r="D41" s="30"/>
      <c r="E41" s="20">
        <f>(E39+E40)*0.01</f>
        <v>2493.22822176</v>
      </c>
    </row>
    <row r="42" spans="1:5" ht="12.75">
      <c r="A42" s="118" t="s">
        <v>257</v>
      </c>
      <c r="B42" s="119"/>
      <c r="C42" s="119"/>
      <c r="D42" s="30"/>
      <c r="E42" s="9">
        <f>SUM(E39:E41)</f>
        <v>251816.05039775997</v>
      </c>
    </row>
    <row r="43" spans="1:5" ht="12.75">
      <c r="A43" s="8" t="s">
        <v>248</v>
      </c>
      <c r="B43" s="39"/>
      <c r="C43" s="40"/>
      <c r="D43" s="9" t="s">
        <v>237</v>
      </c>
      <c r="E43" s="113">
        <f>E42/A13/12</f>
        <v>10.520214000340902</v>
      </c>
    </row>
  </sheetData>
  <sheetProtection/>
  <mergeCells count="24">
    <mergeCell ref="A19:C19"/>
    <mergeCell ref="A21:C21"/>
    <mergeCell ref="A22:C22"/>
    <mergeCell ref="A23:C23"/>
    <mergeCell ref="A6:E6"/>
    <mergeCell ref="A11:E11"/>
    <mergeCell ref="A15:A16"/>
    <mergeCell ref="C15:C16"/>
    <mergeCell ref="A28:C28"/>
    <mergeCell ref="A29:C29"/>
    <mergeCell ref="A30:C30"/>
    <mergeCell ref="A31:C31"/>
    <mergeCell ref="A24:C24"/>
    <mergeCell ref="A25:D25"/>
    <mergeCell ref="A26:C26"/>
    <mergeCell ref="A27:C27"/>
    <mergeCell ref="A39:C39"/>
    <mergeCell ref="A40:C40"/>
    <mergeCell ref="A41:B41"/>
    <mergeCell ref="A42:C42"/>
    <mergeCell ref="A32:C32"/>
    <mergeCell ref="A33:C33"/>
    <mergeCell ref="A35:C35"/>
    <mergeCell ref="A37:C3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46" sqref="B46"/>
    </sheetView>
  </sheetViews>
  <sheetFormatPr defaultColWidth="9.00390625" defaultRowHeight="12.75"/>
  <cols>
    <col min="1" max="1" width="18.00390625" style="70" customWidth="1"/>
    <col min="2" max="2" width="18.375" style="70" customWidth="1"/>
    <col min="3" max="3" width="17.00390625" style="70" customWidth="1"/>
    <col min="4" max="4" width="16.625" style="70" customWidth="1"/>
    <col min="5" max="5" width="13.625" style="70" customWidth="1"/>
    <col min="6" max="16384" width="9.125" style="70" customWidth="1"/>
  </cols>
  <sheetData>
    <row r="1" ht="12.75">
      <c r="C1" s="70" t="s">
        <v>251</v>
      </c>
    </row>
    <row r="2" ht="12.75">
      <c r="C2" s="70" t="s">
        <v>382</v>
      </c>
    </row>
    <row r="3" ht="12.75">
      <c r="C3" s="70" t="s">
        <v>205</v>
      </c>
    </row>
    <row r="6" spans="1:5" ht="15.75">
      <c r="A6" s="152" t="s">
        <v>365</v>
      </c>
      <c r="B6" s="153"/>
      <c r="C6" s="153"/>
      <c r="D6" s="153"/>
      <c r="E6" s="153"/>
    </row>
    <row r="7" spans="1:5" ht="12.75">
      <c r="A7" s="72" t="s">
        <v>237</v>
      </c>
      <c r="B7" s="72"/>
      <c r="C7" s="52"/>
      <c r="D7" s="52"/>
      <c r="E7" s="52"/>
    </row>
    <row r="8" spans="1:5" ht="14.25">
      <c r="A8" s="3" t="s">
        <v>467</v>
      </c>
      <c r="B8" s="52"/>
      <c r="C8" s="52"/>
      <c r="D8" s="52"/>
      <c r="E8" s="52"/>
    </row>
    <row r="9" spans="1:5" ht="15">
      <c r="A9" s="95"/>
      <c r="B9" s="52"/>
      <c r="C9" s="52"/>
      <c r="D9" s="52"/>
      <c r="E9" s="52"/>
    </row>
    <row r="10" spans="1:5" ht="12.75">
      <c r="A10" s="154" t="s">
        <v>240</v>
      </c>
      <c r="B10" s="155"/>
      <c r="C10" s="155"/>
      <c r="D10" s="155"/>
      <c r="E10" s="156"/>
    </row>
    <row r="11" spans="1: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</row>
    <row r="12" spans="1:5" ht="17.25" customHeight="1">
      <c r="A12" s="73">
        <v>9711.5</v>
      </c>
      <c r="B12" s="74">
        <v>1037.6</v>
      </c>
      <c r="C12" s="74">
        <v>1600</v>
      </c>
      <c r="D12" s="74"/>
      <c r="E12" s="74">
        <v>3000</v>
      </c>
    </row>
    <row r="13" spans="1:5" ht="12.75">
      <c r="A13" s="4"/>
      <c r="B13" s="52"/>
      <c r="C13" s="52"/>
      <c r="D13" s="52"/>
      <c r="E13" s="52"/>
    </row>
    <row r="14" spans="1:5" ht="12.75">
      <c r="A14" s="157" t="s">
        <v>245</v>
      </c>
      <c r="B14" s="10" t="s">
        <v>468</v>
      </c>
      <c r="C14" s="147" t="s">
        <v>469</v>
      </c>
      <c r="D14" s="22"/>
      <c r="E14" s="52"/>
    </row>
    <row r="15" spans="1:5" ht="12.75">
      <c r="A15" s="158"/>
      <c r="B15" s="10" t="s">
        <v>280</v>
      </c>
      <c r="C15" s="148"/>
      <c r="D15" s="103"/>
      <c r="E15" s="52"/>
    </row>
    <row r="16" spans="1:5" ht="14.25">
      <c r="A16" s="104"/>
      <c r="B16" s="66"/>
      <c r="C16" s="52"/>
      <c r="D16" s="52"/>
      <c r="E16" s="52"/>
    </row>
    <row r="17" spans="1:5" ht="14.25">
      <c r="A17" s="104"/>
      <c r="B17" s="66"/>
      <c r="C17" s="52"/>
      <c r="D17" s="52"/>
      <c r="E17" s="52"/>
    </row>
    <row r="18" spans="1:5" ht="14.25">
      <c r="A18" s="105"/>
      <c r="B18" s="106"/>
      <c r="C18" s="52"/>
      <c r="D18" s="52"/>
      <c r="E18" s="52"/>
    </row>
    <row r="19" spans="1:5" ht="12.75">
      <c r="A19" s="159" t="s">
        <v>234</v>
      </c>
      <c r="B19" s="160"/>
      <c r="C19" s="160"/>
      <c r="D19" s="47"/>
      <c r="E19" s="76" t="s">
        <v>238</v>
      </c>
    </row>
    <row r="20" spans="1:5" ht="12.75">
      <c r="A20" s="77" t="s">
        <v>235</v>
      </c>
      <c r="B20" s="78"/>
      <c r="C20" s="78"/>
      <c r="D20" s="79"/>
      <c r="E20" s="80">
        <f>E22+E23+E24+E25</f>
        <v>117195.13200000001</v>
      </c>
    </row>
    <row r="21" spans="1:5" ht="12.75">
      <c r="A21" s="161" t="s">
        <v>246</v>
      </c>
      <c r="B21" s="162"/>
      <c r="C21" s="162"/>
      <c r="D21" s="107"/>
      <c r="E21" s="108"/>
    </row>
    <row r="22" spans="1:5" ht="12.75">
      <c r="A22" s="163" t="s">
        <v>477</v>
      </c>
      <c r="B22" s="164"/>
      <c r="C22" s="164"/>
      <c r="D22" s="109"/>
      <c r="E22" s="45">
        <f>0.64*5800*2*1.203*12</f>
        <v>107172.864</v>
      </c>
    </row>
    <row r="23" spans="1:5" ht="12.75" customHeight="1">
      <c r="A23" s="122" t="s">
        <v>586</v>
      </c>
      <c r="B23" s="123"/>
      <c r="C23" s="123"/>
      <c r="D23" s="21"/>
      <c r="E23" s="26">
        <f>0.012*A12*12</f>
        <v>1398.456</v>
      </c>
    </row>
    <row r="24" spans="1:5" ht="12.75" customHeight="1">
      <c r="A24" s="122" t="s">
        <v>476</v>
      </c>
      <c r="B24" s="123"/>
      <c r="C24" s="123"/>
      <c r="D24" s="21"/>
      <c r="E24" s="26">
        <f>0.014*A12*12</f>
        <v>1631.5320000000002</v>
      </c>
    </row>
    <row r="25" spans="1:5" ht="12.75" customHeight="1">
      <c r="A25" s="122" t="s">
        <v>587</v>
      </c>
      <c r="B25" s="123"/>
      <c r="C25" s="123"/>
      <c r="D25" s="133"/>
      <c r="E25" s="27">
        <f>0.06*A12*12</f>
        <v>6992.279999999999</v>
      </c>
    </row>
    <row r="26" spans="1:5" ht="12.75">
      <c r="A26" s="165" t="s">
        <v>236</v>
      </c>
      <c r="B26" s="166"/>
      <c r="C26" s="166"/>
      <c r="D26" s="108"/>
      <c r="E26" s="19">
        <f>E27+E28+E29+E30+E32+E33+E34+E31</f>
        <v>231756.956</v>
      </c>
    </row>
    <row r="27" spans="1:5" ht="12.75">
      <c r="A27" s="167" t="s">
        <v>475</v>
      </c>
      <c r="B27" s="168"/>
      <c r="C27" s="168"/>
      <c r="D27" s="108"/>
      <c r="E27" s="26">
        <f>460*1.5*101.01</f>
        <v>69696.90000000001</v>
      </c>
    </row>
    <row r="28" spans="1:5" ht="12.75">
      <c r="A28" s="169" t="s">
        <v>588</v>
      </c>
      <c r="B28" s="170"/>
      <c r="C28" s="170"/>
      <c r="D28" s="171"/>
      <c r="E28" s="26">
        <f>460*1.5*35.02</f>
        <v>24163.800000000003</v>
      </c>
    </row>
    <row r="29" spans="1:5" ht="12.75">
      <c r="A29" s="167" t="s">
        <v>589</v>
      </c>
      <c r="B29" s="168"/>
      <c r="C29" s="168"/>
      <c r="D29" s="108"/>
      <c r="E29" s="27">
        <f>28300*2.73</f>
        <v>77259</v>
      </c>
    </row>
    <row r="30" spans="1:5" ht="12.75">
      <c r="A30" s="167" t="s">
        <v>470</v>
      </c>
      <c r="B30" s="168"/>
      <c r="C30" s="168"/>
      <c r="D30" s="108"/>
      <c r="E30" s="26">
        <f>0.002*A12*12</f>
        <v>233.07600000000002</v>
      </c>
    </row>
    <row r="31" spans="1:5" ht="12.75">
      <c r="A31" s="122" t="s">
        <v>471</v>
      </c>
      <c r="B31" s="123"/>
      <c r="C31" s="123"/>
      <c r="D31" s="108"/>
      <c r="E31" s="26">
        <f>1.44*2885</f>
        <v>4154.4</v>
      </c>
    </row>
    <row r="32" spans="1:5" ht="12.75">
      <c r="A32" s="167" t="s">
        <v>472</v>
      </c>
      <c r="B32" s="168"/>
      <c r="C32" s="168"/>
      <c r="D32" s="108"/>
      <c r="E32" s="26">
        <f>0.29*A12*12</f>
        <v>33796.02</v>
      </c>
    </row>
    <row r="33" spans="1:5" ht="12.75">
      <c r="A33" s="167" t="s">
        <v>473</v>
      </c>
      <c r="B33" s="168"/>
      <c r="C33" s="168"/>
      <c r="D33" s="108"/>
      <c r="E33" s="27">
        <f>179*5.44</f>
        <v>973.7600000000001</v>
      </c>
    </row>
    <row r="34" spans="1:5" ht="12" customHeight="1">
      <c r="A34" s="84" t="s">
        <v>269</v>
      </c>
      <c r="B34" s="85" t="s">
        <v>590</v>
      </c>
      <c r="C34" s="85"/>
      <c r="D34" s="108"/>
      <c r="E34" s="6">
        <f>179*120</f>
        <v>21480</v>
      </c>
    </row>
    <row r="35" spans="1:5" ht="12.75" customHeight="1">
      <c r="A35" s="124" t="s">
        <v>252</v>
      </c>
      <c r="B35" s="125"/>
      <c r="C35" s="125"/>
      <c r="D35" s="96"/>
      <c r="E35" s="97">
        <v>511500</v>
      </c>
    </row>
    <row r="36" spans="1:5" ht="12.75" customHeight="1">
      <c r="A36" s="31" t="s">
        <v>253</v>
      </c>
      <c r="B36" s="126" t="s">
        <v>591</v>
      </c>
      <c r="C36" s="126"/>
      <c r="D36" s="30"/>
      <c r="E36" s="9">
        <f>0.81*A12*12</f>
        <v>94395.78</v>
      </c>
    </row>
    <row r="37" spans="1:5" ht="12.75">
      <c r="A37" s="32" t="s">
        <v>254</v>
      </c>
      <c r="B37" s="33"/>
      <c r="C37" s="34" t="s">
        <v>592</v>
      </c>
      <c r="D37" s="35"/>
      <c r="E37" s="19">
        <f>1.63*A12*12</f>
        <v>189956.94</v>
      </c>
    </row>
    <row r="38" spans="1:5" ht="12.75">
      <c r="A38" s="89" t="s">
        <v>255</v>
      </c>
      <c r="B38" s="110"/>
      <c r="C38" s="110" t="s">
        <v>474</v>
      </c>
      <c r="D38" s="111"/>
      <c r="E38" s="9">
        <f>0.003*A12*12</f>
        <v>349.614</v>
      </c>
    </row>
    <row r="39" spans="1:5" ht="12.75">
      <c r="A39" s="172" t="s">
        <v>256</v>
      </c>
      <c r="B39" s="173"/>
      <c r="C39" s="173"/>
      <c r="D39" s="112"/>
      <c r="E39" s="9">
        <f>E38+E37+E36+E26+E20+E35</f>
        <v>1145154.422</v>
      </c>
    </row>
    <row r="40" spans="1:5" ht="12.75" customHeight="1">
      <c r="A40" s="120" t="s">
        <v>364</v>
      </c>
      <c r="B40" s="121"/>
      <c r="C40" s="121"/>
      <c r="D40" s="112"/>
      <c r="E40" s="20">
        <f>E39*0.06</f>
        <v>68709.26532</v>
      </c>
    </row>
    <row r="41" spans="1:5" ht="12.75" customHeight="1">
      <c r="A41" s="127" t="s">
        <v>544</v>
      </c>
      <c r="B41" s="128"/>
      <c r="C41" s="114"/>
      <c r="D41" s="30"/>
      <c r="E41" s="20">
        <f>(E39+E40)*0.01</f>
        <v>12138.636873200001</v>
      </c>
    </row>
    <row r="42" spans="1:5" ht="12.75">
      <c r="A42" s="172" t="s">
        <v>257</v>
      </c>
      <c r="B42" s="173"/>
      <c r="C42" s="173"/>
      <c r="D42" s="112"/>
      <c r="E42" s="9">
        <f>SUM(E39:E41)</f>
        <v>1226002.3241932</v>
      </c>
    </row>
    <row r="43" spans="1:5" ht="12.75">
      <c r="A43" s="93" t="s">
        <v>248</v>
      </c>
      <c r="B43" s="39"/>
      <c r="C43" s="40"/>
      <c r="D43" s="9"/>
      <c r="E43" s="113">
        <f>E42/A12/12</f>
        <v>10.520193620906486</v>
      </c>
    </row>
    <row r="44" spans="1:5" ht="12.75">
      <c r="A44" s="94"/>
      <c r="B44" s="12"/>
      <c r="C44" s="13"/>
      <c r="D44" s="13"/>
      <c r="E44" s="52"/>
    </row>
  </sheetData>
  <sheetProtection/>
  <mergeCells count="24">
    <mergeCell ref="A41:B41"/>
    <mergeCell ref="A39:C39"/>
    <mergeCell ref="A40:C40"/>
    <mergeCell ref="A42:C42"/>
    <mergeCell ref="B36:C36"/>
    <mergeCell ref="A29:C29"/>
    <mergeCell ref="A30:C30"/>
    <mergeCell ref="A31:C31"/>
    <mergeCell ref="A28:D28"/>
    <mergeCell ref="A32:C32"/>
    <mergeCell ref="A33:C33"/>
    <mergeCell ref="A35:C35"/>
    <mergeCell ref="A22:C22"/>
    <mergeCell ref="A23:C23"/>
    <mergeCell ref="A24:C24"/>
    <mergeCell ref="A25:D25"/>
    <mergeCell ref="A26:C26"/>
    <mergeCell ref="A27:C27"/>
    <mergeCell ref="A6:E6"/>
    <mergeCell ref="A10:E10"/>
    <mergeCell ref="A14:A15"/>
    <mergeCell ref="C14:C15"/>
    <mergeCell ref="A19:C19"/>
    <mergeCell ref="A21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I38" sqref="I38"/>
    </sheetView>
  </sheetViews>
  <sheetFormatPr defaultColWidth="9.00390625" defaultRowHeight="12.75"/>
  <cols>
    <col min="1" max="1" width="18.00390625" style="70" customWidth="1"/>
    <col min="2" max="2" width="18.375" style="70" customWidth="1"/>
    <col min="3" max="3" width="17.00390625" style="70" customWidth="1"/>
    <col min="4" max="4" width="16.625" style="70" customWidth="1"/>
    <col min="5" max="5" width="13.625" style="70" customWidth="1"/>
    <col min="6" max="16384" width="9.125" style="70" customWidth="1"/>
  </cols>
  <sheetData>
    <row r="1" ht="12.75">
      <c r="C1" s="70" t="s">
        <v>251</v>
      </c>
    </row>
    <row r="2" ht="12.75">
      <c r="C2" s="70" t="s">
        <v>382</v>
      </c>
    </row>
    <row r="3" ht="12.75">
      <c r="C3" s="70" t="s">
        <v>205</v>
      </c>
    </row>
    <row r="6" spans="1:5" ht="15.75">
      <c r="A6" s="152" t="s">
        <v>365</v>
      </c>
      <c r="B6" s="153"/>
      <c r="C6" s="153"/>
      <c r="D6" s="153"/>
      <c r="E6" s="153"/>
    </row>
    <row r="7" spans="1:5" ht="12.75">
      <c r="A7" s="72" t="s">
        <v>237</v>
      </c>
      <c r="B7" s="72"/>
      <c r="C7" s="52"/>
      <c r="D7" s="52"/>
      <c r="E7" s="52"/>
    </row>
    <row r="8" spans="1:5" ht="14.25">
      <c r="A8" s="3" t="s">
        <v>593</v>
      </c>
      <c r="B8" s="52"/>
      <c r="C8" s="52"/>
      <c r="D8" s="52"/>
      <c r="E8" s="52"/>
    </row>
    <row r="9" spans="1:5" ht="15">
      <c r="A9" s="95"/>
      <c r="B9" s="52"/>
      <c r="C9" s="52"/>
      <c r="D9" s="52"/>
      <c r="E9" s="52"/>
    </row>
    <row r="10" spans="1:5" ht="12.75">
      <c r="A10" s="154" t="s">
        <v>240</v>
      </c>
      <c r="B10" s="155"/>
      <c r="C10" s="155"/>
      <c r="D10" s="155"/>
      <c r="E10" s="156"/>
    </row>
    <row r="11" spans="1: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</row>
    <row r="12" spans="1:5" ht="17.25" customHeight="1">
      <c r="A12" s="73">
        <v>1630.8</v>
      </c>
      <c r="B12" s="74">
        <v>154.2</v>
      </c>
      <c r="C12" s="74">
        <v>492</v>
      </c>
      <c r="D12" s="74"/>
      <c r="E12" s="74">
        <v>1093</v>
      </c>
    </row>
    <row r="13" spans="1:5" ht="12.75">
      <c r="A13" s="4"/>
      <c r="B13" s="52"/>
      <c r="C13" s="52"/>
      <c r="D13" s="52"/>
      <c r="E13" s="52"/>
    </row>
    <row r="14" spans="1:5" ht="12.75">
      <c r="A14" s="157" t="s">
        <v>245</v>
      </c>
      <c r="B14" s="10" t="s">
        <v>594</v>
      </c>
      <c r="C14" s="147" t="s">
        <v>595</v>
      </c>
      <c r="D14" s="22"/>
      <c r="E14" s="52"/>
    </row>
    <row r="15" spans="1:5" ht="12.75">
      <c r="A15" s="158"/>
      <c r="B15" s="10" t="s">
        <v>596</v>
      </c>
      <c r="C15" s="148"/>
      <c r="D15" s="103"/>
      <c r="E15" s="52"/>
    </row>
    <row r="16" spans="1:5" ht="12.75">
      <c r="A16" s="115"/>
      <c r="B16" s="66"/>
      <c r="C16" s="22"/>
      <c r="D16" s="103"/>
      <c r="E16" s="52"/>
    </row>
    <row r="17" spans="1:5" ht="12.75">
      <c r="A17" s="4"/>
      <c r="B17" s="52"/>
      <c r="C17" s="52"/>
      <c r="D17" s="52"/>
      <c r="E17" s="52"/>
    </row>
    <row r="18" spans="1:5" ht="12.75">
      <c r="A18" s="159" t="s">
        <v>234</v>
      </c>
      <c r="B18" s="160"/>
      <c r="C18" s="160"/>
      <c r="D18" s="47"/>
      <c r="E18" s="76" t="s">
        <v>238</v>
      </c>
    </row>
    <row r="19" spans="1:5" ht="12.75">
      <c r="A19" s="77" t="s">
        <v>235</v>
      </c>
      <c r="B19" s="78"/>
      <c r="C19" s="78"/>
      <c r="D19" s="79"/>
      <c r="E19" s="80">
        <f>E21+E22+E23+E24</f>
        <v>30401.964</v>
      </c>
    </row>
    <row r="20" spans="1:5" ht="12.75">
      <c r="A20" s="161" t="s">
        <v>246</v>
      </c>
      <c r="B20" s="162"/>
      <c r="C20" s="162"/>
      <c r="D20" s="107"/>
      <c r="E20" s="108"/>
    </row>
    <row r="21" spans="1:5" ht="12.75">
      <c r="A21" s="163" t="s">
        <v>597</v>
      </c>
      <c r="B21" s="164"/>
      <c r="C21" s="164"/>
      <c r="D21" s="109"/>
      <c r="E21" s="45">
        <f>0.196*5800*1.75*1.203*12</f>
        <v>28718.9784</v>
      </c>
    </row>
    <row r="22" spans="1:5" ht="12.75" customHeight="1">
      <c r="A22" s="122" t="s">
        <v>601</v>
      </c>
      <c r="B22" s="123"/>
      <c r="C22" s="123"/>
      <c r="D22" s="21"/>
      <c r="E22" s="26">
        <f>0.012*A12*12</f>
        <v>234.83520000000001</v>
      </c>
    </row>
    <row r="23" spans="1:5" ht="12.75" customHeight="1">
      <c r="A23" s="122" t="s">
        <v>602</v>
      </c>
      <c r="B23" s="123"/>
      <c r="C23" s="123"/>
      <c r="D23" s="21"/>
      <c r="E23" s="26">
        <f>0.014*A12*12</f>
        <v>273.9744</v>
      </c>
    </row>
    <row r="24" spans="1:5" ht="12.75" customHeight="1">
      <c r="A24" s="122" t="s">
        <v>603</v>
      </c>
      <c r="B24" s="123"/>
      <c r="C24" s="123"/>
      <c r="D24" s="133"/>
      <c r="E24" s="27">
        <f>0.06*A12*12</f>
        <v>1174.176</v>
      </c>
    </row>
    <row r="25" spans="1:5" ht="12.75">
      <c r="A25" s="165" t="s">
        <v>236</v>
      </c>
      <c r="B25" s="166"/>
      <c r="C25" s="166"/>
      <c r="D25" s="108"/>
      <c r="E25" s="19">
        <f>E26+E27+E28+E29+E31+E32+E33+E30</f>
        <v>43381.05719999999</v>
      </c>
    </row>
    <row r="26" spans="1:5" ht="12.75">
      <c r="A26" s="167" t="s">
        <v>598</v>
      </c>
      <c r="B26" s="168"/>
      <c r="C26" s="168"/>
      <c r="D26" s="108"/>
      <c r="E26" s="26">
        <f>60*1.5*101.01</f>
        <v>9090.9</v>
      </c>
    </row>
    <row r="27" spans="1:5" ht="12.75">
      <c r="A27" s="167" t="s">
        <v>604</v>
      </c>
      <c r="B27" s="168"/>
      <c r="C27" s="168"/>
      <c r="D27" s="108"/>
      <c r="E27" s="26">
        <f>61*1.5*35.02</f>
        <v>3204.3300000000004</v>
      </c>
    </row>
    <row r="28" spans="1:5" ht="12.75">
      <c r="A28" s="167" t="s">
        <v>605</v>
      </c>
      <c r="B28" s="168"/>
      <c r="C28" s="168"/>
      <c r="D28" s="108"/>
      <c r="E28" s="27">
        <f>9000*2.73</f>
        <v>24570</v>
      </c>
    </row>
    <row r="29" spans="1:5" ht="12.75">
      <c r="A29" s="167" t="s">
        <v>599</v>
      </c>
      <c r="B29" s="168"/>
      <c r="C29" s="168"/>
      <c r="D29" s="108"/>
      <c r="E29" s="26">
        <f>0.002*A12*12</f>
        <v>39.1392</v>
      </c>
    </row>
    <row r="30" spans="1:5" ht="12.75">
      <c r="A30" s="122" t="s">
        <v>606</v>
      </c>
      <c r="B30" s="123"/>
      <c r="C30" s="123"/>
      <c r="D30" s="108"/>
      <c r="E30" s="26">
        <f>1.44*420.6</f>
        <v>605.664</v>
      </c>
    </row>
    <row r="31" spans="1:5" ht="12.75">
      <c r="A31" s="167" t="s">
        <v>607</v>
      </c>
      <c r="B31" s="168"/>
      <c r="C31" s="168"/>
      <c r="D31" s="108"/>
      <c r="E31" s="26">
        <f>0.29*A12*12</f>
        <v>5675.183999999999</v>
      </c>
    </row>
    <row r="32" spans="1:5" ht="12.75">
      <c r="A32" s="167" t="s">
        <v>608</v>
      </c>
      <c r="B32" s="168"/>
      <c r="C32" s="168"/>
      <c r="D32" s="108"/>
      <c r="E32" s="27">
        <f>36*5.44</f>
        <v>195.84</v>
      </c>
    </row>
    <row r="33" spans="1:5" ht="12" customHeight="1">
      <c r="A33" s="84" t="s">
        <v>269</v>
      </c>
      <c r="B33" s="85"/>
      <c r="C33" s="85"/>
      <c r="D33" s="108"/>
      <c r="E33" s="6"/>
    </row>
    <row r="34" spans="1:5" ht="12.75" customHeight="1">
      <c r="A34" s="124" t="s">
        <v>252</v>
      </c>
      <c r="B34" s="125"/>
      <c r="C34" s="125"/>
      <c r="D34" s="96"/>
      <c r="E34" s="97">
        <v>70700</v>
      </c>
    </row>
    <row r="35" spans="1:5" ht="12.75" customHeight="1">
      <c r="A35" s="31" t="s">
        <v>253</v>
      </c>
      <c r="B35" s="126" t="s">
        <v>609</v>
      </c>
      <c r="C35" s="126"/>
      <c r="D35" s="30"/>
      <c r="E35" s="9">
        <f>0.81*A12*12</f>
        <v>15851.376</v>
      </c>
    </row>
    <row r="36" spans="1:5" ht="12.75">
      <c r="A36" s="32" t="s">
        <v>254</v>
      </c>
      <c r="B36" s="33"/>
      <c r="C36" s="34" t="s">
        <v>610</v>
      </c>
      <c r="D36" s="35"/>
      <c r="E36" s="19">
        <f>1.63*A12*12</f>
        <v>31898.447999999997</v>
      </c>
    </row>
    <row r="37" spans="1:5" ht="12.75">
      <c r="A37" s="89" t="s">
        <v>255</v>
      </c>
      <c r="B37" s="110"/>
      <c r="C37" s="110" t="s">
        <v>600</v>
      </c>
      <c r="D37" s="111"/>
      <c r="E37" s="9">
        <f>0.003*A12*12</f>
        <v>58.708800000000004</v>
      </c>
    </row>
    <row r="38" spans="1:5" ht="12.75">
      <c r="A38" s="172" t="s">
        <v>256</v>
      </c>
      <c r="B38" s="173"/>
      <c r="C38" s="173"/>
      <c r="D38" s="112"/>
      <c r="E38" s="9">
        <f>E37+E36+E35+E25+E19+E34</f>
        <v>192291.554</v>
      </c>
    </row>
    <row r="39" spans="1:5" ht="12.75" customHeight="1">
      <c r="A39" s="120" t="s">
        <v>364</v>
      </c>
      <c r="B39" s="121"/>
      <c r="C39" s="121"/>
      <c r="D39" s="112"/>
      <c r="E39" s="20">
        <f>E38*0.06</f>
        <v>11537.49324</v>
      </c>
    </row>
    <row r="40" spans="1:5" ht="12.75" customHeight="1">
      <c r="A40" s="127" t="s">
        <v>544</v>
      </c>
      <c r="B40" s="128"/>
      <c r="C40" s="114"/>
      <c r="D40" s="30"/>
      <c r="E40" s="20">
        <f>(E38+E39)*0.01</f>
        <v>2038.2904724000002</v>
      </c>
    </row>
    <row r="41" spans="1:5" ht="12.75">
      <c r="A41" s="172" t="s">
        <v>257</v>
      </c>
      <c r="B41" s="173"/>
      <c r="C41" s="173"/>
      <c r="D41" s="112"/>
      <c r="E41" s="9">
        <f>SUM(E38:E40)</f>
        <v>205867.3377124</v>
      </c>
    </row>
    <row r="42" spans="1:5" ht="12.75">
      <c r="A42" s="93" t="s">
        <v>248</v>
      </c>
      <c r="B42" s="39"/>
      <c r="C42" s="40"/>
      <c r="D42" s="9"/>
      <c r="E42" s="113">
        <f>E41/A12/12</f>
        <v>10.519751947530866</v>
      </c>
    </row>
    <row r="43" spans="1:5" ht="12.75">
      <c r="A43" s="94"/>
      <c r="B43" s="12"/>
      <c r="C43" s="13"/>
      <c r="D43" s="13"/>
      <c r="E43" s="52"/>
    </row>
  </sheetData>
  <sheetProtection/>
  <mergeCells count="24">
    <mergeCell ref="A34:C34"/>
    <mergeCell ref="B35:C35"/>
    <mergeCell ref="A38:C38"/>
    <mergeCell ref="A39:C39"/>
    <mergeCell ref="A40:B40"/>
    <mergeCell ref="A41:C41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D24"/>
    <mergeCell ref="A25:C25"/>
    <mergeCell ref="A26:C26"/>
    <mergeCell ref="A6:E6"/>
    <mergeCell ref="A10:E10"/>
    <mergeCell ref="A14:A15"/>
    <mergeCell ref="C14:C15"/>
    <mergeCell ref="A18:C18"/>
    <mergeCell ref="A20:C2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18.00390625" style="70" customWidth="1"/>
    <col min="2" max="2" width="18.375" style="70" customWidth="1"/>
    <col min="3" max="3" width="17.00390625" style="70" customWidth="1"/>
    <col min="4" max="4" width="16.625" style="70" customWidth="1"/>
    <col min="5" max="5" width="13.625" style="70" customWidth="1"/>
    <col min="6" max="16384" width="9.125" style="70" customWidth="1"/>
  </cols>
  <sheetData>
    <row r="1" ht="12.75">
      <c r="C1" s="70" t="s">
        <v>251</v>
      </c>
    </row>
    <row r="2" ht="12.75">
      <c r="C2" s="70" t="s">
        <v>382</v>
      </c>
    </row>
    <row r="3" ht="12.75">
      <c r="C3" s="70" t="s">
        <v>205</v>
      </c>
    </row>
    <row r="6" spans="1:5" ht="15.75">
      <c r="A6" s="152" t="s">
        <v>365</v>
      </c>
      <c r="B6" s="153"/>
      <c r="C6" s="153"/>
      <c r="D6" s="153"/>
      <c r="E6" s="153"/>
    </row>
    <row r="7" spans="1:5" ht="12.75">
      <c r="A7" s="72" t="s">
        <v>237</v>
      </c>
      <c r="B7" s="72"/>
      <c r="C7" s="52"/>
      <c r="D7" s="52"/>
      <c r="E7" s="52"/>
    </row>
    <row r="8" spans="1:5" ht="14.25">
      <c r="A8" s="3" t="s">
        <v>611</v>
      </c>
      <c r="B8" s="52"/>
      <c r="C8" s="52"/>
      <c r="D8" s="52"/>
      <c r="E8" s="52"/>
    </row>
    <row r="9" spans="1:5" ht="15">
      <c r="A9" s="95"/>
      <c r="B9" s="52"/>
      <c r="C9" s="52"/>
      <c r="D9" s="52"/>
      <c r="E9" s="52"/>
    </row>
    <row r="10" spans="1:5" ht="12.75">
      <c r="A10" s="154" t="s">
        <v>240</v>
      </c>
      <c r="B10" s="155"/>
      <c r="C10" s="155"/>
      <c r="D10" s="155"/>
      <c r="E10" s="156"/>
    </row>
    <row r="11" spans="1: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</row>
    <row r="12" spans="1:5" ht="17.25" customHeight="1">
      <c r="A12" s="73">
        <v>1606.1</v>
      </c>
      <c r="B12" s="74">
        <v>143.5</v>
      </c>
      <c r="C12" s="74">
        <v>650</v>
      </c>
      <c r="D12" s="74"/>
      <c r="E12" s="74">
        <v>570</v>
      </c>
    </row>
    <row r="13" spans="1:5" ht="12.75">
      <c r="A13" s="4"/>
      <c r="B13" s="52"/>
      <c r="C13" s="52"/>
      <c r="D13" s="52"/>
      <c r="E13" s="52"/>
    </row>
    <row r="14" spans="1:5" ht="12.75">
      <c r="A14" s="157" t="s">
        <v>245</v>
      </c>
      <c r="B14" s="10" t="s">
        <v>612</v>
      </c>
      <c r="C14" s="147" t="s">
        <v>613</v>
      </c>
      <c r="D14" s="22"/>
      <c r="E14" s="52"/>
    </row>
    <row r="15" spans="1:5" ht="12.75">
      <c r="A15" s="158"/>
      <c r="B15" s="10" t="s">
        <v>614</v>
      </c>
      <c r="C15" s="148"/>
      <c r="D15" s="103"/>
      <c r="E15" s="52"/>
    </row>
    <row r="16" spans="1:5" ht="12.75">
      <c r="A16" s="115"/>
      <c r="B16" s="66"/>
      <c r="C16" s="22"/>
      <c r="D16" s="103"/>
      <c r="E16" s="52"/>
    </row>
    <row r="17" spans="1:5" ht="12.75">
      <c r="A17" s="4"/>
      <c r="B17" s="52"/>
      <c r="C17" s="52"/>
      <c r="D17" s="52"/>
      <c r="E17" s="52"/>
    </row>
    <row r="18" spans="1:5" ht="12.75">
      <c r="A18" s="159" t="s">
        <v>234</v>
      </c>
      <c r="B18" s="160"/>
      <c r="C18" s="160"/>
      <c r="D18" s="47"/>
      <c r="E18" s="76" t="s">
        <v>238</v>
      </c>
    </row>
    <row r="19" spans="1:5" ht="12.75">
      <c r="A19" s="77" t="s">
        <v>235</v>
      </c>
      <c r="B19" s="78"/>
      <c r="C19" s="78"/>
      <c r="D19" s="79"/>
      <c r="E19" s="80">
        <f>E21+E22+E23+E24</f>
        <v>35211.8118</v>
      </c>
    </row>
    <row r="20" spans="1:5" ht="12.75">
      <c r="A20" s="161" t="s">
        <v>246</v>
      </c>
      <c r="B20" s="162"/>
      <c r="C20" s="162"/>
      <c r="D20" s="107"/>
      <c r="E20" s="108"/>
    </row>
    <row r="21" spans="1:5" ht="12.75">
      <c r="A21" s="163" t="s">
        <v>615</v>
      </c>
      <c r="B21" s="164"/>
      <c r="C21" s="164"/>
      <c r="D21" s="109"/>
      <c r="E21" s="45">
        <f>0.229*5800*1.75*1.203*12</f>
        <v>33554.3166</v>
      </c>
    </row>
    <row r="22" spans="1:5" ht="12.75" customHeight="1">
      <c r="A22" s="122" t="s">
        <v>619</v>
      </c>
      <c r="B22" s="123"/>
      <c r="C22" s="123"/>
      <c r="D22" s="21"/>
      <c r="E22" s="26">
        <f>0.012*A12*12</f>
        <v>231.27839999999998</v>
      </c>
    </row>
    <row r="23" spans="1:5" ht="12.75" customHeight="1">
      <c r="A23" s="122" t="s">
        <v>620</v>
      </c>
      <c r="B23" s="123"/>
      <c r="C23" s="123"/>
      <c r="D23" s="21"/>
      <c r="E23" s="26">
        <f>0.014*A12*12</f>
        <v>269.8248</v>
      </c>
    </row>
    <row r="24" spans="1:5" ht="12.75" customHeight="1">
      <c r="A24" s="122" t="s">
        <v>621</v>
      </c>
      <c r="B24" s="123"/>
      <c r="C24" s="123"/>
      <c r="D24" s="133"/>
      <c r="E24" s="27">
        <f>0.06*A12*12</f>
        <v>1156.3919999999998</v>
      </c>
    </row>
    <row r="25" spans="1:5" ht="12.75">
      <c r="A25" s="165" t="s">
        <v>236</v>
      </c>
      <c r="B25" s="166"/>
      <c r="C25" s="166"/>
      <c r="D25" s="108"/>
      <c r="E25" s="19">
        <f>E26+E27+E28+E29+E31+E32+E33+E30</f>
        <v>30303.0954</v>
      </c>
    </row>
    <row r="26" spans="1:5" ht="12.75">
      <c r="A26" s="167" t="s">
        <v>616</v>
      </c>
      <c r="B26" s="168"/>
      <c r="C26" s="168"/>
      <c r="D26" s="108"/>
      <c r="E26" s="26">
        <f>77*1.5*101.01</f>
        <v>11666.655</v>
      </c>
    </row>
    <row r="27" spans="1:5" ht="12.75">
      <c r="A27" s="167" t="s">
        <v>622</v>
      </c>
      <c r="B27" s="168"/>
      <c r="C27" s="168"/>
      <c r="D27" s="108"/>
      <c r="E27" s="26">
        <f>77*1.5*35.02</f>
        <v>4044.8100000000004</v>
      </c>
    </row>
    <row r="28" spans="1:5" ht="12.75">
      <c r="A28" s="167" t="s">
        <v>623</v>
      </c>
      <c r="B28" s="168"/>
      <c r="C28" s="168"/>
      <c r="D28" s="108"/>
      <c r="E28" s="27">
        <f>3000*2.73</f>
        <v>8190</v>
      </c>
    </row>
    <row r="29" spans="1:5" ht="12.75">
      <c r="A29" s="167" t="s">
        <v>617</v>
      </c>
      <c r="B29" s="168"/>
      <c r="C29" s="168"/>
      <c r="D29" s="108"/>
      <c r="E29" s="26">
        <f>0.002*A12*12</f>
        <v>38.5464</v>
      </c>
    </row>
    <row r="30" spans="1:5" ht="12.75">
      <c r="A30" s="122" t="s">
        <v>624</v>
      </c>
      <c r="B30" s="123"/>
      <c r="C30" s="123"/>
      <c r="D30" s="108"/>
      <c r="E30" s="26">
        <f>1.44*401.4</f>
        <v>578.016</v>
      </c>
    </row>
    <row r="31" spans="1:5" ht="12.75">
      <c r="A31" s="167" t="s">
        <v>625</v>
      </c>
      <c r="B31" s="168"/>
      <c r="C31" s="168"/>
      <c r="D31" s="108"/>
      <c r="E31" s="26">
        <f>0.29*A12*12</f>
        <v>5589.227999999999</v>
      </c>
    </row>
    <row r="32" spans="1:5" ht="12.75">
      <c r="A32" s="167" t="s">
        <v>608</v>
      </c>
      <c r="B32" s="168"/>
      <c r="C32" s="168"/>
      <c r="D32" s="108"/>
      <c r="E32" s="27">
        <f>36*5.44</f>
        <v>195.84</v>
      </c>
    </row>
    <row r="33" spans="1:5" ht="12" customHeight="1">
      <c r="A33" s="84" t="s">
        <v>269</v>
      </c>
      <c r="B33" s="85"/>
      <c r="C33" s="85"/>
      <c r="D33" s="108"/>
      <c r="E33" s="6"/>
    </row>
    <row r="34" spans="1:5" ht="12.75" customHeight="1">
      <c r="A34" s="124" t="s">
        <v>252</v>
      </c>
      <c r="B34" s="125"/>
      <c r="C34" s="125"/>
      <c r="D34" s="96"/>
      <c r="E34" s="97">
        <v>76780</v>
      </c>
    </row>
    <row r="35" spans="1:5" ht="12.75" customHeight="1">
      <c r="A35" s="31" t="s">
        <v>253</v>
      </c>
      <c r="B35" s="126" t="s">
        <v>626</v>
      </c>
      <c r="C35" s="126"/>
      <c r="D35" s="30"/>
      <c r="E35" s="9">
        <f>0.81*A12*12</f>
        <v>15611.292000000001</v>
      </c>
    </row>
    <row r="36" spans="1:5" ht="12.75">
      <c r="A36" s="32" t="s">
        <v>254</v>
      </c>
      <c r="B36" s="33"/>
      <c r="C36" s="34" t="s">
        <v>627</v>
      </c>
      <c r="D36" s="35"/>
      <c r="E36" s="19">
        <f>1.63*A12*12</f>
        <v>31415.316</v>
      </c>
    </row>
    <row r="37" spans="1:5" ht="12.75">
      <c r="A37" s="89" t="s">
        <v>255</v>
      </c>
      <c r="B37" s="110"/>
      <c r="C37" s="110" t="s">
        <v>618</v>
      </c>
      <c r="D37" s="111"/>
      <c r="E37" s="9">
        <f>0.003*A12*12</f>
        <v>57.819599999999994</v>
      </c>
    </row>
    <row r="38" spans="1:5" ht="12.75">
      <c r="A38" s="172" t="s">
        <v>256</v>
      </c>
      <c r="B38" s="173"/>
      <c r="C38" s="173"/>
      <c r="D38" s="112"/>
      <c r="E38" s="9">
        <f>E37+E36+E35+E25+E19+E34</f>
        <v>189379.33479999998</v>
      </c>
    </row>
    <row r="39" spans="1:5" ht="12.75" customHeight="1">
      <c r="A39" s="120" t="s">
        <v>364</v>
      </c>
      <c r="B39" s="121"/>
      <c r="C39" s="121"/>
      <c r="D39" s="112"/>
      <c r="E39" s="20">
        <f>E38*0.06</f>
        <v>11362.760087999999</v>
      </c>
    </row>
    <row r="40" spans="1:5" ht="12.75" customHeight="1">
      <c r="A40" s="127" t="s">
        <v>544</v>
      </c>
      <c r="B40" s="128"/>
      <c r="C40" s="114"/>
      <c r="D40" s="30"/>
      <c r="E40" s="20">
        <f>(E38+E39)*0.01</f>
        <v>2007.42094888</v>
      </c>
    </row>
    <row r="41" spans="1:5" ht="12.75">
      <c r="A41" s="172" t="s">
        <v>257</v>
      </c>
      <c r="B41" s="173"/>
      <c r="C41" s="173"/>
      <c r="D41" s="112"/>
      <c r="E41" s="9">
        <f>SUM(E38:E40)</f>
        <v>202749.51583688</v>
      </c>
    </row>
    <row r="42" spans="1:5" ht="12.75">
      <c r="A42" s="93" t="s">
        <v>248</v>
      </c>
      <c r="B42" s="39"/>
      <c r="C42" s="40"/>
      <c r="D42" s="9"/>
      <c r="E42" s="113">
        <f>E41/A12/12</f>
        <v>10.519764016192433</v>
      </c>
    </row>
    <row r="43" spans="1:5" ht="12.75">
      <c r="A43" s="94"/>
      <c r="B43" s="12"/>
      <c r="C43" s="13"/>
      <c r="D43" s="13"/>
      <c r="E43" s="52"/>
    </row>
  </sheetData>
  <sheetProtection/>
  <mergeCells count="24">
    <mergeCell ref="A34:C34"/>
    <mergeCell ref="B35:C35"/>
    <mergeCell ref="A38:C38"/>
    <mergeCell ref="A39:C39"/>
    <mergeCell ref="A40:B40"/>
    <mergeCell ref="A41:C41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D24"/>
    <mergeCell ref="A25:C25"/>
    <mergeCell ref="A26:C26"/>
    <mergeCell ref="A6:E6"/>
    <mergeCell ref="A10:E10"/>
    <mergeCell ref="A14:A15"/>
    <mergeCell ref="C14:C15"/>
    <mergeCell ref="A18:C18"/>
    <mergeCell ref="A20:C2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G35" sqref="G35"/>
    </sheetView>
  </sheetViews>
  <sheetFormatPr defaultColWidth="9.00390625" defaultRowHeight="12.75"/>
  <cols>
    <col min="1" max="1" width="12.375" style="0" customWidth="1"/>
    <col min="2" max="2" width="19.625" style="0" customWidth="1"/>
    <col min="3" max="3" width="18.875" style="0" customWidth="1"/>
    <col min="4" max="4" width="15.625" style="0" customWidth="1"/>
    <col min="5" max="5" width="13.875" style="0" customWidth="1"/>
  </cols>
  <sheetData>
    <row r="1" spans="3:4" ht="15">
      <c r="C1" s="55" t="s">
        <v>251</v>
      </c>
      <c r="D1" s="55"/>
    </row>
    <row r="2" spans="3:4" ht="15">
      <c r="C2" s="55" t="s">
        <v>204</v>
      </c>
      <c r="D2" s="55"/>
    </row>
    <row r="3" spans="3:4" ht="15">
      <c r="C3" s="55" t="s">
        <v>205</v>
      </c>
      <c r="D3" s="55"/>
    </row>
    <row r="4" spans="3:4" ht="15">
      <c r="C4" s="55"/>
      <c r="D4" s="55"/>
    </row>
    <row r="6" spans="1:5" ht="21" customHeight="1">
      <c r="A6" s="134" t="s">
        <v>365</v>
      </c>
      <c r="B6" s="135"/>
      <c r="C6" s="135"/>
      <c r="D6" s="135"/>
      <c r="E6" s="135"/>
    </row>
    <row r="7" spans="1:5" ht="15.75">
      <c r="A7" s="2" t="s">
        <v>237</v>
      </c>
      <c r="B7" s="2"/>
      <c r="C7" s="1"/>
      <c r="D7" s="1"/>
      <c r="E7" s="1"/>
    </row>
    <row r="8" spans="1:5" ht="15" customHeight="1">
      <c r="A8" s="3" t="s">
        <v>337</v>
      </c>
      <c r="B8" s="1"/>
      <c r="C8" s="1"/>
      <c r="D8" s="1"/>
      <c r="E8" s="1"/>
    </row>
    <row r="9" spans="1:5" ht="14.25">
      <c r="A9" s="3"/>
      <c r="B9" s="1"/>
      <c r="C9" s="1"/>
      <c r="D9" s="1"/>
      <c r="E9" s="1"/>
    </row>
    <row r="10" spans="1:5" ht="12.75">
      <c r="A10" s="136" t="s">
        <v>240</v>
      </c>
      <c r="B10" s="137"/>
      <c r="C10" s="137"/>
      <c r="D10" s="137"/>
      <c r="E10" s="138"/>
    </row>
    <row r="11" spans="1: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</row>
    <row r="12" spans="1:5" ht="14.25">
      <c r="A12" s="51">
        <v>2044</v>
      </c>
      <c r="B12" s="49">
        <v>146.8</v>
      </c>
      <c r="C12" s="49">
        <v>400</v>
      </c>
      <c r="D12" s="49"/>
      <c r="E12" s="7">
        <v>1500</v>
      </c>
    </row>
    <row r="13" spans="1:5" ht="14.25">
      <c r="A13" s="3"/>
      <c r="B13" s="1"/>
      <c r="C13" s="1"/>
      <c r="D13" s="1"/>
      <c r="E13" s="1"/>
    </row>
    <row r="14" spans="1:5" ht="12.75">
      <c r="A14" s="145" t="s">
        <v>245</v>
      </c>
      <c r="B14" s="50" t="s">
        <v>318</v>
      </c>
      <c r="C14" s="147" t="s">
        <v>338</v>
      </c>
      <c r="D14" s="22"/>
      <c r="E14" s="1"/>
    </row>
    <row r="15" spans="1:5" ht="12.75">
      <c r="A15" s="151"/>
      <c r="B15" s="50" t="s">
        <v>319</v>
      </c>
      <c r="C15" s="151"/>
      <c r="D15" s="1"/>
      <c r="E15" s="1"/>
    </row>
    <row r="16" spans="1:5" ht="12.75">
      <c r="A16" s="4"/>
      <c r="B16" s="1"/>
      <c r="C16" s="1"/>
      <c r="D16" s="1"/>
      <c r="E16" s="1"/>
    </row>
    <row r="17" spans="1:5" ht="12.75">
      <c r="A17" s="139" t="s">
        <v>234</v>
      </c>
      <c r="B17" s="140"/>
      <c r="C17" s="140"/>
      <c r="D17" s="47"/>
      <c r="E17" s="48" t="s">
        <v>238</v>
      </c>
    </row>
    <row r="18" spans="1:5" ht="12.75">
      <c r="A18" s="41" t="s">
        <v>235</v>
      </c>
      <c r="B18" s="42"/>
      <c r="C18" s="42"/>
      <c r="D18" s="43"/>
      <c r="E18" s="24">
        <f>E20+E21+E22+E23</f>
        <v>28483.980000000003</v>
      </c>
    </row>
    <row r="19" spans="1:5" ht="12.75">
      <c r="A19" s="141" t="s">
        <v>246</v>
      </c>
      <c r="B19" s="142"/>
      <c r="C19" s="142"/>
      <c r="D19" s="46"/>
      <c r="E19" s="21"/>
    </row>
    <row r="20" spans="1:5" ht="12.75">
      <c r="A20" s="131" t="s">
        <v>663</v>
      </c>
      <c r="B20" s="132"/>
      <c r="C20" s="132"/>
      <c r="D20" s="44"/>
      <c r="E20" s="45">
        <f>0.18*5800*1.75*1.203*12</f>
        <v>26374.572000000004</v>
      </c>
    </row>
    <row r="21" spans="1:5" ht="12.75">
      <c r="A21" s="122" t="s">
        <v>664</v>
      </c>
      <c r="B21" s="123"/>
      <c r="C21" s="123"/>
      <c r="D21" s="21"/>
      <c r="E21" s="26">
        <f>0.012*A12*12</f>
        <v>294.336</v>
      </c>
    </row>
    <row r="22" spans="1:5" ht="12.75">
      <c r="A22" s="122" t="s">
        <v>320</v>
      </c>
      <c r="B22" s="123"/>
      <c r="C22" s="123"/>
      <c r="D22" s="21"/>
      <c r="E22" s="26">
        <f>0.014*A12*12</f>
        <v>343.392</v>
      </c>
    </row>
    <row r="23" spans="1:5" ht="12.75">
      <c r="A23" s="122" t="s">
        <v>665</v>
      </c>
      <c r="B23" s="123"/>
      <c r="C23" s="123"/>
      <c r="D23" s="133"/>
      <c r="E23" s="27">
        <f>0.06*A12*12</f>
        <v>1471.68</v>
      </c>
    </row>
    <row r="24" spans="1:5" ht="12.75">
      <c r="A24" s="129" t="s">
        <v>236</v>
      </c>
      <c r="B24" s="130"/>
      <c r="C24" s="130"/>
      <c r="D24" s="21"/>
      <c r="E24" s="19">
        <f>E25+E26+E27+E28+E29+E30+E31</f>
        <v>46663.986000000004</v>
      </c>
    </row>
    <row r="25" spans="1:5" ht="12.75">
      <c r="A25" s="122" t="s">
        <v>321</v>
      </c>
      <c r="B25" s="123"/>
      <c r="C25" s="123"/>
      <c r="D25" s="21"/>
      <c r="E25" s="26">
        <f>90*1.5*101.01</f>
        <v>13636.35</v>
      </c>
    </row>
    <row r="26" spans="1:5" ht="12.75">
      <c r="A26" s="122" t="s">
        <v>339</v>
      </c>
      <c r="B26" s="123"/>
      <c r="C26" s="123"/>
      <c r="D26" s="21"/>
      <c r="E26" s="26">
        <f>90*1.5*35.02</f>
        <v>4727.700000000001</v>
      </c>
    </row>
    <row r="27" spans="1:5" ht="12.75">
      <c r="A27" s="122" t="s">
        <v>322</v>
      </c>
      <c r="B27" s="123"/>
      <c r="C27" s="123"/>
      <c r="D27" s="21"/>
      <c r="E27" s="27">
        <f>4400*2.73</f>
        <v>12012</v>
      </c>
    </row>
    <row r="28" spans="1:5" ht="12.75">
      <c r="A28" s="122" t="s">
        <v>323</v>
      </c>
      <c r="B28" s="123"/>
      <c r="C28" s="123"/>
      <c r="D28" s="21"/>
      <c r="E28" s="26">
        <f>0.002*A12*12</f>
        <v>49.056</v>
      </c>
    </row>
    <row r="29" spans="1:5" ht="12.75">
      <c r="A29" s="122" t="s">
        <v>324</v>
      </c>
      <c r="B29" s="123"/>
      <c r="C29" s="123"/>
      <c r="D29" s="21"/>
      <c r="E29" s="26">
        <f>0.29*A12*12</f>
        <v>7113.12</v>
      </c>
    </row>
    <row r="30" spans="1:5" ht="12.75">
      <c r="A30" s="122" t="s">
        <v>326</v>
      </c>
      <c r="B30" s="123"/>
      <c r="C30" s="123"/>
      <c r="D30" s="21"/>
      <c r="E30" s="27">
        <f>48*5.44+(48*16.17*4)</f>
        <v>3365.76</v>
      </c>
    </row>
    <row r="31" spans="1:5" ht="12.75">
      <c r="A31" s="28" t="s">
        <v>249</v>
      </c>
      <c r="B31" s="29" t="s">
        <v>313</v>
      </c>
      <c r="C31" s="29"/>
      <c r="D31" s="21"/>
      <c r="E31" s="6">
        <f>48*120</f>
        <v>5760</v>
      </c>
    </row>
    <row r="32" spans="1:5" ht="12.75">
      <c r="A32" s="124" t="s">
        <v>252</v>
      </c>
      <c r="B32" s="125"/>
      <c r="C32" s="125"/>
      <c r="D32" s="30"/>
      <c r="E32" s="9">
        <v>95950</v>
      </c>
    </row>
    <row r="33" spans="1:5" ht="12.75">
      <c r="A33" s="53" t="s">
        <v>265</v>
      </c>
      <c r="B33" s="54"/>
      <c r="C33" s="54" t="s">
        <v>666</v>
      </c>
      <c r="D33" s="30"/>
      <c r="E33" s="19">
        <f>0.81*A12*12</f>
        <v>19867.68</v>
      </c>
    </row>
    <row r="34" spans="1:5" ht="12.75">
      <c r="A34" s="174" t="s">
        <v>667</v>
      </c>
      <c r="B34" s="175"/>
      <c r="C34" s="175"/>
      <c r="D34" s="30"/>
      <c r="E34" s="19">
        <f>1.63*A12*12</f>
        <v>39980.64</v>
      </c>
    </row>
    <row r="35" spans="1:5" ht="12.75">
      <c r="A35" s="36" t="s">
        <v>215</v>
      </c>
      <c r="B35" s="37"/>
      <c r="C35" s="37" t="s">
        <v>325</v>
      </c>
      <c r="D35" s="38"/>
      <c r="E35" s="9">
        <f>0.003*A12*12</f>
        <v>73.584</v>
      </c>
    </row>
    <row r="36" spans="1:5" ht="12.75">
      <c r="A36" s="118" t="s">
        <v>335</v>
      </c>
      <c r="B36" s="119"/>
      <c r="C36" s="119"/>
      <c r="D36" s="30"/>
      <c r="E36" s="9">
        <f>E35+E34+E33+E32+E24+E18</f>
        <v>231019.87000000002</v>
      </c>
    </row>
    <row r="37" spans="1:5" ht="12.75" customHeight="1">
      <c r="A37" s="120" t="s">
        <v>364</v>
      </c>
      <c r="B37" s="121"/>
      <c r="C37" s="121"/>
      <c r="D37" s="30"/>
      <c r="E37" s="20">
        <f>E36*0.06</f>
        <v>13861.192200000001</v>
      </c>
    </row>
    <row r="38" spans="1:5" ht="12.75" customHeight="1">
      <c r="A38" s="127" t="s">
        <v>544</v>
      </c>
      <c r="B38" s="128"/>
      <c r="C38" s="114"/>
      <c r="D38" s="30"/>
      <c r="E38" s="20">
        <f>(E36+E37)*0.01</f>
        <v>2448.8106220000004</v>
      </c>
    </row>
    <row r="39" spans="1:5" ht="12.75">
      <c r="A39" s="118" t="s">
        <v>257</v>
      </c>
      <c r="B39" s="119"/>
      <c r="C39" s="119"/>
      <c r="D39" s="30"/>
      <c r="E39" s="9">
        <f>SUM(E36:E38)</f>
        <v>247329.872822</v>
      </c>
    </row>
    <row r="40" spans="1:5" ht="12.75">
      <c r="A40" s="8" t="s">
        <v>248</v>
      </c>
      <c r="B40" s="39"/>
      <c r="C40" s="40"/>
      <c r="D40" s="9" t="s">
        <v>237</v>
      </c>
      <c r="E40" s="56">
        <f>E39/A12/12</f>
        <v>10.08357276671559</v>
      </c>
    </row>
    <row r="41" spans="1:5" ht="12.75">
      <c r="A41" s="11"/>
      <c r="B41" s="12"/>
      <c r="C41" s="13"/>
      <c r="D41" s="13"/>
      <c r="E41" s="1"/>
    </row>
  </sheetData>
  <sheetProtection/>
  <mergeCells count="23">
    <mergeCell ref="A39:C39"/>
    <mergeCell ref="A30:C30"/>
    <mergeCell ref="A32:C32"/>
    <mergeCell ref="A34:C34"/>
    <mergeCell ref="A38:B38"/>
    <mergeCell ref="A26:C26"/>
    <mergeCell ref="A27:C27"/>
    <mergeCell ref="A28:C28"/>
    <mergeCell ref="A29:C29"/>
    <mergeCell ref="A36:C36"/>
    <mergeCell ref="A37:C37"/>
    <mergeCell ref="A20:C20"/>
    <mergeCell ref="A21:C21"/>
    <mergeCell ref="A22:C22"/>
    <mergeCell ref="A23:D23"/>
    <mergeCell ref="A24:C24"/>
    <mergeCell ref="A25:C25"/>
    <mergeCell ref="A6:E6"/>
    <mergeCell ref="A10:E10"/>
    <mergeCell ref="A14:A15"/>
    <mergeCell ref="C14:C15"/>
    <mergeCell ref="A17:C17"/>
    <mergeCell ref="A19:C19"/>
  </mergeCells>
  <printOptions/>
  <pageMargins left="0.75" right="0.75" top="0.7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39" sqref="A39:E39"/>
    </sheetView>
  </sheetViews>
  <sheetFormatPr defaultColWidth="9.00390625" defaultRowHeight="12.75"/>
  <cols>
    <col min="1" max="1" width="18.00390625" style="70" customWidth="1"/>
    <col min="2" max="2" width="18.375" style="70" customWidth="1"/>
    <col min="3" max="3" width="17.00390625" style="70" customWidth="1"/>
    <col min="4" max="4" width="16.625" style="70" customWidth="1"/>
    <col min="5" max="5" width="13.625" style="70" customWidth="1"/>
    <col min="6" max="16384" width="9.125" style="70" customWidth="1"/>
  </cols>
  <sheetData>
    <row r="1" ht="12.75">
      <c r="C1" s="70" t="s">
        <v>251</v>
      </c>
    </row>
    <row r="2" ht="12.75">
      <c r="C2" s="70" t="s">
        <v>382</v>
      </c>
    </row>
    <row r="3" ht="12.75">
      <c r="C3" s="70" t="s">
        <v>205</v>
      </c>
    </row>
    <row r="6" spans="1:5" ht="15.75">
      <c r="A6" s="152" t="s">
        <v>365</v>
      </c>
      <c r="B6" s="153"/>
      <c r="C6" s="153"/>
      <c r="D6" s="153"/>
      <c r="E6" s="153"/>
    </row>
    <row r="7" spans="1:5" ht="12.75">
      <c r="A7" s="72" t="s">
        <v>237</v>
      </c>
      <c r="B7" s="72"/>
      <c r="C7" s="52"/>
      <c r="D7" s="52"/>
      <c r="E7" s="52"/>
    </row>
    <row r="8" spans="1:5" ht="14.25">
      <c r="A8" s="3" t="s">
        <v>628</v>
      </c>
      <c r="B8" s="52"/>
      <c r="C8" s="52"/>
      <c r="D8" s="52"/>
      <c r="E8" s="52"/>
    </row>
    <row r="9" spans="1:5" ht="15">
      <c r="A9" s="95"/>
      <c r="B9" s="52"/>
      <c r="C9" s="52"/>
      <c r="D9" s="52"/>
      <c r="E9" s="52"/>
    </row>
    <row r="10" spans="1:5" ht="12.75">
      <c r="A10" s="154" t="s">
        <v>240</v>
      </c>
      <c r="B10" s="155"/>
      <c r="C10" s="155"/>
      <c r="D10" s="155"/>
      <c r="E10" s="156"/>
    </row>
    <row r="11" spans="1:5" ht="12.75">
      <c r="A11" s="18" t="s">
        <v>241</v>
      </c>
      <c r="B11" s="18" t="s">
        <v>242</v>
      </c>
      <c r="C11" s="18" t="s">
        <v>243</v>
      </c>
      <c r="D11" s="18" t="s">
        <v>244</v>
      </c>
      <c r="E11" s="18" t="s">
        <v>239</v>
      </c>
    </row>
    <row r="12" spans="1:5" ht="17.25" customHeight="1">
      <c r="A12" s="73">
        <v>1107.8</v>
      </c>
      <c r="B12" s="74">
        <v>91.9</v>
      </c>
      <c r="C12" s="74">
        <v>245.7</v>
      </c>
      <c r="D12" s="74"/>
      <c r="E12" s="74">
        <v>926.8</v>
      </c>
    </row>
    <row r="13" spans="1:5" ht="12.75">
      <c r="A13" s="4"/>
      <c r="B13" s="52"/>
      <c r="C13" s="52"/>
      <c r="D13" s="52"/>
      <c r="E13" s="52"/>
    </row>
    <row r="14" spans="1:5" ht="12.75">
      <c r="A14" s="157" t="s">
        <v>245</v>
      </c>
      <c r="B14" s="10" t="s">
        <v>629</v>
      </c>
      <c r="C14" s="147" t="s">
        <v>630</v>
      </c>
      <c r="D14" s="22"/>
      <c r="E14" s="52"/>
    </row>
    <row r="15" spans="1:5" ht="12.75">
      <c r="A15" s="158"/>
      <c r="B15" s="10" t="s">
        <v>631</v>
      </c>
      <c r="C15" s="148"/>
      <c r="D15" s="103"/>
      <c r="E15" s="52"/>
    </row>
    <row r="16" spans="1:5" ht="12.75">
      <c r="A16" s="4"/>
      <c r="B16" s="52"/>
      <c r="C16" s="52"/>
      <c r="D16" s="52"/>
      <c r="E16" s="52"/>
    </row>
    <row r="17" spans="1:5" ht="12.75">
      <c r="A17" s="159" t="s">
        <v>234</v>
      </c>
      <c r="B17" s="160"/>
      <c r="C17" s="160"/>
      <c r="D17" s="47"/>
      <c r="E17" s="76" t="s">
        <v>238</v>
      </c>
    </row>
    <row r="18" spans="1:5" ht="12.75">
      <c r="A18" s="77" t="s">
        <v>235</v>
      </c>
      <c r="B18" s="78"/>
      <c r="C18" s="78"/>
      <c r="D18" s="79"/>
      <c r="E18" s="80">
        <f>E20+E21+E22+E23</f>
        <v>17261.043599999997</v>
      </c>
    </row>
    <row r="19" spans="1:5" ht="12.75">
      <c r="A19" s="161" t="s">
        <v>246</v>
      </c>
      <c r="B19" s="162"/>
      <c r="C19" s="162"/>
      <c r="D19" s="107"/>
      <c r="E19" s="108"/>
    </row>
    <row r="20" spans="1:5" ht="12.75">
      <c r="A20" s="163" t="s">
        <v>632</v>
      </c>
      <c r="B20" s="164"/>
      <c r="C20" s="164"/>
      <c r="D20" s="109"/>
      <c r="E20" s="45">
        <f>0.11*5800*1.75*1.203*12</f>
        <v>16117.794</v>
      </c>
    </row>
    <row r="21" spans="1:5" ht="12.75" customHeight="1">
      <c r="A21" s="122" t="s">
        <v>636</v>
      </c>
      <c r="B21" s="123"/>
      <c r="C21" s="123"/>
      <c r="D21" s="21"/>
      <c r="E21" s="26">
        <f>0.012*A12*12</f>
        <v>159.5232</v>
      </c>
    </row>
    <row r="22" spans="1:5" ht="12.75" customHeight="1">
      <c r="A22" s="122" t="s">
        <v>637</v>
      </c>
      <c r="B22" s="123"/>
      <c r="C22" s="123"/>
      <c r="D22" s="21"/>
      <c r="E22" s="26">
        <f>0.014*A12*12</f>
        <v>186.1104</v>
      </c>
    </row>
    <row r="23" spans="1:5" ht="12.75" customHeight="1">
      <c r="A23" s="122" t="s">
        <v>638</v>
      </c>
      <c r="B23" s="123"/>
      <c r="C23" s="123"/>
      <c r="D23" s="133"/>
      <c r="E23" s="27">
        <f>0.06*A12*12</f>
        <v>797.6159999999999</v>
      </c>
    </row>
    <row r="24" spans="1:5" ht="12.75">
      <c r="A24" s="165" t="s">
        <v>236</v>
      </c>
      <c r="B24" s="166"/>
      <c r="C24" s="166"/>
      <c r="D24" s="108"/>
      <c r="E24" s="19">
        <f>E25+E26+E27+E28+E30+E31+E32+E29</f>
        <v>28518.7962</v>
      </c>
    </row>
    <row r="25" spans="1:5" ht="12.75">
      <c r="A25" s="167" t="s">
        <v>633</v>
      </c>
      <c r="B25" s="168"/>
      <c r="C25" s="168"/>
      <c r="D25" s="108"/>
      <c r="E25" s="26">
        <f>81*1.5*101.01</f>
        <v>12272.715</v>
      </c>
    </row>
    <row r="26" spans="1:5" ht="12.75">
      <c r="A26" s="167" t="s">
        <v>639</v>
      </c>
      <c r="B26" s="168"/>
      <c r="C26" s="168"/>
      <c r="D26" s="108"/>
      <c r="E26" s="26">
        <f>81*1.5*35.02</f>
        <v>4254.93</v>
      </c>
    </row>
    <row r="27" spans="1:5" ht="12.75">
      <c r="A27" s="167" t="s">
        <v>640</v>
      </c>
      <c r="B27" s="168"/>
      <c r="C27" s="168"/>
      <c r="D27" s="108"/>
      <c r="E27" s="27">
        <f>2550*2.73</f>
        <v>6961.5</v>
      </c>
    </row>
    <row r="28" spans="1:5" ht="12.75">
      <c r="A28" s="167" t="s">
        <v>634</v>
      </c>
      <c r="B28" s="168"/>
      <c r="C28" s="168"/>
      <c r="D28" s="108"/>
      <c r="E28" s="26">
        <f>0.002*A12*12</f>
        <v>26.587199999999996</v>
      </c>
    </row>
    <row r="29" spans="1:5" ht="12.75">
      <c r="A29" s="122" t="s">
        <v>641</v>
      </c>
      <c r="B29" s="123"/>
      <c r="C29" s="123"/>
      <c r="D29" s="108"/>
      <c r="E29" s="26">
        <f>1.44*437</f>
        <v>629.28</v>
      </c>
    </row>
    <row r="30" spans="1:5" ht="12.75">
      <c r="A30" s="167" t="s">
        <v>642</v>
      </c>
      <c r="B30" s="168"/>
      <c r="C30" s="168"/>
      <c r="D30" s="108"/>
      <c r="E30" s="26">
        <f>0.29*A12*12</f>
        <v>3855.1439999999993</v>
      </c>
    </row>
    <row r="31" spans="1:5" ht="12.75">
      <c r="A31" s="167" t="s">
        <v>643</v>
      </c>
      <c r="B31" s="168"/>
      <c r="C31" s="168"/>
      <c r="D31" s="108"/>
      <c r="E31" s="27">
        <f>24*5.44+24*16.17</f>
        <v>518.6400000000001</v>
      </c>
    </row>
    <row r="32" spans="1:5" ht="12" customHeight="1">
      <c r="A32" s="84" t="s">
        <v>269</v>
      </c>
      <c r="B32" s="85"/>
      <c r="C32" s="85"/>
      <c r="D32" s="108"/>
      <c r="E32" s="6"/>
    </row>
    <row r="33" spans="1:5" ht="12.75" customHeight="1">
      <c r="A33" s="124" t="s">
        <v>252</v>
      </c>
      <c r="B33" s="125"/>
      <c r="C33" s="125"/>
      <c r="D33" s="96"/>
      <c r="E33" s="97">
        <v>52370</v>
      </c>
    </row>
    <row r="34" spans="1:5" ht="12.75" customHeight="1">
      <c r="A34" s="31" t="s">
        <v>253</v>
      </c>
      <c r="B34" s="126" t="s">
        <v>644</v>
      </c>
      <c r="C34" s="126"/>
      <c r="D34" s="30"/>
      <c r="E34" s="9">
        <f>0.81*A12*12</f>
        <v>10767.815999999999</v>
      </c>
    </row>
    <row r="35" spans="1:5" ht="12.75">
      <c r="A35" s="32" t="s">
        <v>254</v>
      </c>
      <c r="B35" s="33"/>
      <c r="C35" s="34" t="s">
        <v>645</v>
      </c>
      <c r="D35" s="35"/>
      <c r="E35" s="19">
        <f>1.63*A12*12</f>
        <v>21668.567999999996</v>
      </c>
    </row>
    <row r="36" spans="1:5" ht="12.75">
      <c r="A36" s="89" t="s">
        <v>255</v>
      </c>
      <c r="B36" s="110"/>
      <c r="C36" s="110" t="s">
        <v>635</v>
      </c>
      <c r="D36" s="111"/>
      <c r="E36" s="9">
        <f>0.003*A12*12</f>
        <v>39.8808</v>
      </c>
    </row>
    <row r="37" spans="1:5" ht="12.75">
      <c r="A37" s="172" t="s">
        <v>256</v>
      </c>
      <c r="B37" s="173"/>
      <c r="C37" s="173"/>
      <c r="D37" s="112"/>
      <c r="E37" s="9">
        <f>E36+E35+E34+E24+E18+E33</f>
        <v>130626.10459999999</v>
      </c>
    </row>
    <row r="38" spans="1:5" ht="12.75" customHeight="1">
      <c r="A38" s="120" t="s">
        <v>364</v>
      </c>
      <c r="B38" s="121"/>
      <c r="C38" s="121"/>
      <c r="D38" s="112"/>
      <c r="E38" s="20">
        <f>E37*0.06</f>
        <v>7837.566276</v>
      </c>
    </row>
    <row r="39" spans="1:5" ht="12.75" customHeight="1">
      <c r="A39" s="127" t="s">
        <v>544</v>
      </c>
      <c r="B39" s="128"/>
      <c r="C39" s="114"/>
      <c r="D39" s="30"/>
      <c r="E39" s="20">
        <f>(E37+E38)*0.01</f>
        <v>1384.63670876</v>
      </c>
    </row>
    <row r="40" spans="1:5" ht="12.75">
      <c r="A40" s="172" t="s">
        <v>257</v>
      </c>
      <c r="B40" s="173"/>
      <c r="C40" s="173"/>
      <c r="D40" s="112"/>
      <c r="E40" s="9">
        <f>SUM(E37:E39)</f>
        <v>139848.30758475998</v>
      </c>
    </row>
    <row r="41" spans="1:5" ht="12.75">
      <c r="A41" s="93" t="s">
        <v>248</v>
      </c>
      <c r="B41" s="39"/>
      <c r="C41" s="40"/>
      <c r="D41" s="9"/>
      <c r="E41" s="113">
        <f>E40/A12/12</f>
        <v>10.519972587166757</v>
      </c>
    </row>
    <row r="42" spans="1:5" ht="12.75">
      <c r="A42" s="94"/>
      <c r="B42" s="12"/>
      <c r="C42" s="13"/>
      <c r="D42" s="13"/>
      <c r="E42" s="52"/>
    </row>
  </sheetData>
  <sheetProtection/>
  <mergeCells count="24">
    <mergeCell ref="A33:C33"/>
    <mergeCell ref="B34:C34"/>
    <mergeCell ref="A37:C37"/>
    <mergeCell ref="A38:C38"/>
    <mergeCell ref="A39:B39"/>
    <mergeCell ref="A40:C40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D23"/>
    <mergeCell ref="A24:C24"/>
    <mergeCell ref="A25:C25"/>
    <mergeCell ref="A6:E6"/>
    <mergeCell ref="A10:E10"/>
    <mergeCell ref="A14:A15"/>
    <mergeCell ref="C14:C15"/>
    <mergeCell ref="A17:C17"/>
    <mergeCell ref="A19:C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2012-12-18T13:41:05Z</cp:lastPrinted>
  <dcterms:created xsi:type="dcterms:W3CDTF">2010-10-12T06:05:29Z</dcterms:created>
  <dcterms:modified xsi:type="dcterms:W3CDTF">2013-10-29T08:41:38Z</dcterms:modified>
  <cp:category/>
  <cp:version/>
  <cp:contentType/>
  <cp:contentStatus/>
</cp:coreProperties>
</file>